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390" windowHeight="9120" activeTab="7"/>
  </bookViews>
  <sheets>
    <sheet name="Overview" sheetId="1" r:id="rId1"/>
    <sheet name="Summary" sheetId="2" r:id="rId2"/>
    <sheet name="Income Statement" sheetId="3" r:id="rId3"/>
    <sheet name="Balance Sheet" sheetId="4" r:id="rId4"/>
    <sheet name="Cash Flow" sheetId="5" r:id="rId5"/>
    <sheet name="Financing" sheetId="6" r:id="rId6"/>
    <sheet name="IRR" sheetId="7" r:id="rId7"/>
    <sheet name="NPV" sheetId="8" r:id="rId8"/>
  </sheets>
  <definedNames>
    <definedName name="_xlnm.Print_Area" localSheetId="3">'Balance Sheet'!$A$1:$M$44</definedName>
  </definedNames>
  <calcPr fullCalcOnLoad="1"/>
</workbook>
</file>

<file path=xl/sharedStrings.xml><?xml version="1.0" encoding="utf-8"?>
<sst xmlns="http://schemas.openxmlformats.org/spreadsheetml/2006/main" count="335" uniqueCount="276">
  <si>
    <t>Objectives:</t>
  </si>
  <si>
    <t>Worksheets:</t>
  </si>
  <si>
    <t xml:space="preserve">   Model Overview</t>
  </si>
  <si>
    <t xml:space="preserve">   Model Output Summary</t>
  </si>
  <si>
    <t xml:space="preserve">   Income Statement and Forecast Assumptions</t>
  </si>
  <si>
    <t xml:space="preserve">   Loan Amortization Schedules and Forecast Assumptions</t>
  </si>
  <si>
    <t xml:space="preserve">   Balance Sheet and Forecast Assumptions</t>
  </si>
  <si>
    <t xml:space="preserve">   Cash Flow Statement and Forecast Assumptions</t>
  </si>
  <si>
    <t>LBO Structuring and Valuation Model Overview</t>
  </si>
  <si>
    <t>Model Output Summary</t>
  </si>
  <si>
    <t>Income Statement and Forecast Assumptions</t>
  </si>
  <si>
    <t>Balance Sheet and Forecast Assumptions</t>
  </si>
  <si>
    <t>Pro Forma Capital Structure</t>
  </si>
  <si>
    <t>Net Sales</t>
  </si>
  <si>
    <t>Cost of Sales</t>
  </si>
  <si>
    <t xml:space="preserve">   Gross Profit</t>
  </si>
  <si>
    <t>SG&amp;A</t>
  </si>
  <si>
    <t>Management Fee</t>
  </si>
  <si>
    <t>Operating Income (EBIT)</t>
  </si>
  <si>
    <t>Amortization of Financing Fees</t>
  </si>
  <si>
    <t>(Interest Income)</t>
  </si>
  <si>
    <t>New Revolver Interest Expense</t>
  </si>
  <si>
    <t xml:space="preserve">   Total Interest Expense</t>
  </si>
  <si>
    <t>Earnings Before Taxes</t>
  </si>
  <si>
    <t>Taxes @40%</t>
  </si>
  <si>
    <t>PIK Preferred Dividend</t>
  </si>
  <si>
    <t>Net Income to Common</t>
  </si>
  <si>
    <t>Cost of Sales as % of Sales</t>
  </si>
  <si>
    <t>SG&amp;A as % of Sales</t>
  </si>
  <si>
    <t>Historical Period</t>
  </si>
  <si>
    <t>Assets:</t>
  </si>
  <si>
    <t>Current Assets</t>
  </si>
  <si>
    <t xml:space="preserve">   Accounts Receivable</t>
  </si>
  <si>
    <t xml:space="preserve">   Other Current Assets</t>
  </si>
  <si>
    <t>Transaction Fees and Expenses</t>
  </si>
  <si>
    <t>Total Assets</t>
  </si>
  <si>
    <t>Current Liabilities:</t>
  </si>
  <si>
    <t xml:space="preserve">   Accounts Payable</t>
  </si>
  <si>
    <t xml:space="preserve">   Other Current Liabilitiles</t>
  </si>
  <si>
    <t xml:space="preserve">   Revolving Loan</t>
  </si>
  <si>
    <t xml:space="preserve">   Senior Debt</t>
  </si>
  <si>
    <t xml:space="preserve">   Subordinated Debt</t>
  </si>
  <si>
    <t>Shareholders' Equity</t>
  </si>
  <si>
    <t xml:space="preserve">   Preferred Stock (PIK)</t>
  </si>
  <si>
    <t xml:space="preserve">   Common Stock</t>
  </si>
  <si>
    <t xml:space="preserve">   Additional Paid in Capital</t>
  </si>
  <si>
    <t xml:space="preserve">   Retained Earnings</t>
  </si>
  <si>
    <t>Historical Data</t>
  </si>
  <si>
    <t>Balance Sheet Assumptions:</t>
  </si>
  <si>
    <t>Projections: Twelve Months Ended December,</t>
  </si>
  <si>
    <t>Income Statement Assumptions:</t>
  </si>
  <si>
    <t>Adjust.</t>
  </si>
  <si>
    <t>Closing</t>
  </si>
  <si>
    <t>Projections: Twelve Months Ended December 31,</t>
  </si>
  <si>
    <t xml:space="preserve">   After-Tax Net Interest Expense (Income)</t>
  </si>
  <si>
    <t xml:space="preserve">   Amortization of Financing Fees</t>
  </si>
  <si>
    <t xml:space="preserve">   Net Debt (Repayments) or Issuance</t>
  </si>
  <si>
    <t xml:space="preserve">   PIK Preferred Dividend</t>
  </si>
  <si>
    <t xml:space="preserve">   Dividends on Common Stock</t>
  </si>
  <si>
    <t xml:space="preserve">   Net Stock (Repurchase) or Issuance</t>
  </si>
  <si>
    <t>Net Increase (Decrease) in Cash Balance</t>
  </si>
  <si>
    <t xml:space="preserve">   Cash and Mkt. Securities</t>
  </si>
  <si>
    <t>Projections: Twelve Months Ending December 31,</t>
  </si>
  <si>
    <t>Financing Assumptions</t>
  </si>
  <si>
    <t>Interest Rate on Cash &amp; Marketable Securities = 2.0%</t>
  </si>
  <si>
    <t>New Revolving Loan</t>
  </si>
  <si>
    <t>New Senior Debt</t>
  </si>
  <si>
    <t>New Preferred Stock (PIK)</t>
  </si>
  <si>
    <t>New Subordinated Debt</t>
  </si>
  <si>
    <t xml:space="preserve">     Total Annual Payments</t>
  </si>
  <si>
    <t xml:space="preserve">     Total Interest Expense</t>
  </si>
  <si>
    <t xml:space="preserve">     Total Principal Repayments</t>
  </si>
  <si>
    <t xml:space="preserve">     Total Debt Outstanding</t>
  </si>
  <si>
    <t>New Debt</t>
  </si>
  <si>
    <t>Interest Rates on Debt (%)</t>
  </si>
  <si>
    <t>Interest Expense Schedule ($)</t>
  </si>
  <si>
    <t>Principal Repayment Schedule ($)</t>
  </si>
  <si>
    <t>Post-LBO Debt Outstanding ($)</t>
  </si>
  <si>
    <t>Net Sales Growth (%)</t>
  </si>
  <si>
    <t>Cash &amp; Mkt. Securities (%Sales)</t>
  </si>
  <si>
    <t>Accounts Receivable (%Sales)</t>
  </si>
  <si>
    <t>Other Current Assets (%Sales)</t>
  </si>
  <si>
    <t>Liabilities &amp; Shareholders' Equity</t>
  </si>
  <si>
    <t>Accounts Payable (%Sales)</t>
  </si>
  <si>
    <t>Other Current Liabilities (%Sales)</t>
  </si>
  <si>
    <t>Long-Term Debt:</t>
  </si>
  <si>
    <t xml:space="preserve">     Total Current Assets</t>
  </si>
  <si>
    <t xml:space="preserve">     Total Current Liabilities</t>
  </si>
  <si>
    <t>Gross Property, Plant &amp; Equipment</t>
  </si>
  <si>
    <t>Less: Accumulated Depreciation</t>
  </si>
  <si>
    <t xml:space="preserve">      Net Property, Plant &amp; Equipment</t>
  </si>
  <si>
    <t>Gross Prop., Plant &amp; Equip (%Sales)</t>
  </si>
  <si>
    <t>Accumulated Depreciation (%GP&amp;E)</t>
  </si>
  <si>
    <t xml:space="preserve">Depreciation </t>
  </si>
  <si>
    <t xml:space="preserve">      Total Long-Term Debt</t>
  </si>
  <si>
    <t xml:space="preserve">     Total Shareholders' Equity</t>
  </si>
  <si>
    <t>Sources of Funds</t>
  </si>
  <si>
    <t>Amount ($)</t>
  </si>
  <si>
    <t>Interest</t>
  </si>
  <si>
    <t>Rate (%)</t>
  </si>
  <si>
    <t>Uses of Funds</t>
  </si>
  <si>
    <t>Cash to Owners</t>
  </si>
  <si>
    <t>Buyer Expenses</t>
  </si>
  <si>
    <t>New Common Stock</t>
  </si>
  <si>
    <t xml:space="preserve">   Depreciation </t>
  </si>
  <si>
    <t>Effective Tax Rate (%)</t>
  </si>
  <si>
    <t xml:space="preserve">   Net Income</t>
  </si>
  <si>
    <t xml:space="preserve">   Total Depreciation &amp; Amortization</t>
  </si>
  <si>
    <t>Addendum:</t>
  </si>
  <si>
    <r>
      <t>1</t>
    </r>
    <r>
      <rPr>
        <sz val="10"/>
        <rFont val="Arial"/>
        <family val="0"/>
      </rPr>
      <t>Cash balances equal the sum of cash &amp; marketable securities and investments available for sale.</t>
    </r>
  </si>
  <si>
    <t>Cash From Balance Sheet</t>
  </si>
  <si>
    <t>Seller Equity</t>
  </si>
  <si>
    <t>Seller's Note</t>
  </si>
  <si>
    <t>Excess Cash</t>
  </si>
  <si>
    <t xml:space="preserve">   Paid to Owners</t>
  </si>
  <si>
    <t>Debt Repayment</t>
  </si>
  <si>
    <r>
      <t>Ending Cash Balances</t>
    </r>
    <r>
      <rPr>
        <vertAlign val="superscript"/>
        <sz val="10"/>
        <rFont val="Arial"/>
        <family val="2"/>
      </rPr>
      <t>1</t>
    </r>
  </si>
  <si>
    <t>Value</t>
  </si>
  <si>
    <t xml:space="preserve">Market </t>
  </si>
  <si>
    <t>Revolving Loan</t>
  </si>
  <si>
    <t>Senior Debt</t>
  </si>
  <si>
    <t>Subordinated Debt</t>
  </si>
  <si>
    <t xml:space="preserve">   Total Debt</t>
  </si>
  <si>
    <t>Common Equity</t>
  </si>
  <si>
    <t>Preferred Equity</t>
  </si>
  <si>
    <t xml:space="preserve">   Total Equity</t>
  </si>
  <si>
    <t>Total Capital</t>
  </si>
  <si>
    <t>% of Total</t>
  </si>
  <si>
    <t>Capital</t>
  </si>
  <si>
    <t>Sources and Uses of Funds:</t>
  </si>
  <si>
    <t>Equity Investor</t>
  </si>
  <si>
    <t>Management</t>
  </si>
  <si>
    <t>Common</t>
  </si>
  <si>
    <t>Preferred</t>
  </si>
  <si>
    <t>Total</t>
  </si>
  <si>
    <t>% Distribution</t>
  </si>
  <si>
    <t>Warrants</t>
  </si>
  <si>
    <t>Pre-Option</t>
  </si>
  <si>
    <t>Ownership</t>
  </si>
  <si>
    <t>Options</t>
  </si>
  <si>
    <t xml:space="preserve">   Total</t>
  </si>
  <si>
    <t xml:space="preserve">   Annual Growth Rate</t>
  </si>
  <si>
    <t>EBIT as % of Net Revenue</t>
  </si>
  <si>
    <t>Enterprise Cash Flow</t>
  </si>
  <si>
    <t>Equity Cash Flow</t>
  </si>
  <si>
    <t>Total Debt Outstanding</t>
  </si>
  <si>
    <t>EBIT/Interest Expense</t>
  </si>
  <si>
    <t>Fully Diluted Ownership Distribution</t>
  </si>
  <si>
    <t>Ownership Distribution ($)</t>
  </si>
  <si>
    <t>Equity Investment:</t>
  </si>
  <si>
    <t>Year 4</t>
  </si>
  <si>
    <t>Year 5</t>
  </si>
  <si>
    <t>Year 6</t>
  </si>
  <si>
    <t xml:space="preserve"> </t>
  </si>
  <si>
    <r>
      <t>1</t>
    </r>
    <r>
      <rPr>
        <sz val="10"/>
        <rFont val="Arial"/>
        <family val="0"/>
      </rPr>
      <t>Includes interest expense and principal repayment</t>
    </r>
  </si>
  <si>
    <r>
      <t>3</t>
    </r>
    <r>
      <rPr>
        <sz val="10"/>
        <rFont val="Arial"/>
        <family val="0"/>
      </rPr>
      <t>Equal annual payments over 8 years.</t>
    </r>
  </si>
  <si>
    <r>
      <t>Annual Payment Schedule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($)</t>
    </r>
  </si>
  <si>
    <r>
      <t>New Senior Debt</t>
    </r>
    <r>
      <rPr>
        <vertAlign val="superscript"/>
        <sz val="10"/>
        <rFont val="Arial"/>
        <family val="2"/>
      </rPr>
      <t>2</t>
    </r>
  </si>
  <si>
    <r>
      <t>New Subordinated Debt</t>
    </r>
    <r>
      <rPr>
        <vertAlign val="superscript"/>
        <sz val="10"/>
        <rFont val="Arial"/>
        <family val="2"/>
      </rPr>
      <t>3</t>
    </r>
  </si>
  <si>
    <t>Terminal Value for Internal Rate of Return Calculation:</t>
  </si>
  <si>
    <t>Projections</t>
  </si>
  <si>
    <t>Multiple of Enterprise Cash Flow</t>
  </si>
  <si>
    <t>IRR (Year 4)</t>
  </si>
  <si>
    <t>IRR (Year 6)</t>
  </si>
  <si>
    <t>IRR (Year 5)</t>
  </si>
  <si>
    <t>Multiple</t>
  </si>
  <si>
    <t>Multiple 6</t>
  </si>
  <si>
    <t>Multiple 8</t>
  </si>
  <si>
    <t xml:space="preserve">   Internal Rate of Return Calculations and Assumptions</t>
  </si>
  <si>
    <t>Develop a model capable of simulating alternative capital structures and associated rates of returns.</t>
  </si>
  <si>
    <t>Identify clearly all assumptions underlying the model's financial projections.</t>
  </si>
  <si>
    <t>Summarize key performance metrics associated with the model.</t>
  </si>
  <si>
    <t>Equity Cash Flows Used to Calculate IRRs</t>
  </si>
  <si>
    <t>Multiple 9</t>
  </si>
  <si>
    <t>Multiple 10</t>
  </si>
  <si>
    <t>Internal Rates of Return:</t>
  </si>
  <si>
    <t>Multiple 5</t>
  </si>
  <si>
    <t>Multiple 4</t>
  </si>
  <si>
    <t>Total Investor Return (%)</t>
  </si>
  <si>
    <t>Management Investment Gain ($)</t>
  </si>
  <si>
    <t>Equity Investor Investment Gain ($)</t>
  </si>
  <si>
    <t>NA</t>
  </si>
  <si>
    <t>Financial Projections and Analysis:</t>
  </si>
  <si>
    <t>Equity CF</t>
  </si>
  <si>
    <t>PV of</t>
  </si>
  <si>
    <t>Debt to</t>
  </si>
  <si>
    <t>Equity Ratio</t>
  </si>
  <si>
    <t>Leveraged</t>
  </si>
  <si>
    <t xml:space="preserve">Cost of </t>
  </si>
  <si>
    <t>Equity</t>
  </si>
  <si>
    <t xml:space="preserve">Marginal Tax Rate </t>
  </si>
  <si>
    <t xml:space="preserve">                                   PV (2004-2010)</t>
  </si>
  <si>
    <t xml:space="preserve">                                   Terminal Value</t>
  </si>
  <si>
    <t xml:space="preserve">                                      Total PV</t>
  </si>
  <si>
    <r>
      <t>Comparable Firm Unlevered Beta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(Bu)  </t>
    </r>
  </si>
  <si>
    <t>10-Year Treasury Bond Rate</t>
  </si>
  <si>
    <t>Risk Premium on Stocks</t>
  </si>
  <si>
    <t>Cost of Equity During Terminal Period</t>
  </si>
  <si>
    <t>Terminal Periond Growth Rate</t>
  </si>
  <si>
    <t xml:space="preserve">Comparable Firm Price-to-Earnings Ratio </t>
  </si>
  <si>
    <t>Cash Flow Statement and Analysis</t>
  </si>
  <si>
    <t xml:space="preserve">   Net Income to Common</t>
  </si>
  <si>
    <t xml:space="preserve">          Amortization of Financing Fees</t>
  </si>
  <si>
    <t xml:space="preserve">          PIK Preferred Dividends</t>
  </si>
  <si>
    <t xml:space="preserve">          Depreciation </t>
  </si>
  <si>
    <t>GAAP Cash Flow</t>
  </si>
  <si>
    <t xml:space="preserve">               Net Cash Used in Investments</t>
  </si>
  <si>
    <t>Cash Flow from Operating Activities:</t>
  </si>
  <si>
    <t>Cash Flow from Investing Activities</t>
  </si>
  <si>
    <t>Cash Flows from Financing Activities:</t>
  </si>
  <si>
    <t xml:space="preserve">                Net Cash  (Used in) Provided by Financing Activities</t>
  </si>
  <si>
    <t>Investments Available for Sale</t>
  </si>
  <si>
    <t xml:space="preserve">   (Increase) Decrease in Gross Property, Plant &amp; Equipment</t>
  </si>
  <si>
    <t xml:space="preserve">          Net Change in Working Capital</t>
  </si>
  <si>
    <t>Net Cash Flow  from Operations</t>
  </si>
  <si>
    <t>Net Cash Flow Before Working Capital</t>
  </si>
  <si>
    <t xml:space="preserve">          Net Debt (Repayment) or Issuance</t>
  </si>
  <si>
    <t xml:space="preserve">          (Increase) Decrease in Gross Property, Plant &amp; Equip.</t>
  </si>
  <si>
    <t>Chg. in Op. Working Capital (WC)</t>
  </si>
  <si>
    <t>Purchase price in excess of book value</t>
  </si>
  <si>
    <t>Comparable Firm D/E Ratio</t>
  </si>
  <si>
    <t>Net Increase (Decrease) in Cash &amp; Marketable Securities</t>
  </si>
  <si>
    <t>Beginning Balances--Cash &amp; Marketable Securities</t>
  </si>
  <si>
    <t>Ending Balances--Cash &amp; Marketable Securities</t>
  </si>
  <si>
    <t xml:space="preserve">          (Increase) Decrease in Invest Available for Sale.</t>
  </si>
  <si>
    <t xml:space="preserve">   Net Change in Working Capital</t>
  </si>
  <si>
    <t>Net Cash Flow Before Gross Property, Plant &amp; Equip. Spending</t>
  </si>
  <si>
    <t>Cash Flow</t>
  </si>
  <si>
    <t>Adj. Equity</t>
  </si>
  <si>
    <t xml:space="preserve">   Present Value of Adjusted Equity Cash Flow</t>
  </si>
  <si>
    <r>
      <t>Multiple of Adjusted Equity Cash Flow</t>
    </r>
    <r>
      <rPr>
        <vertAlign val="superscript"/>
        <sz val="10"/>
        <rFont val="Arial"/>
        <family val="2"/>
      </rPr>
      <t>1</t>
    </r>
  </si>
  <si>
    <r>
      <t>Comparable Firm Levered Beta (B</t>
    </r>
    <r>
      <rPr>
        <vertAlign val="subscript"/>
        <sz val="10"/>
        <rFont val="Arial"/>
        <family val="2"/>
      </rPr>
      <t>l</t>
    </r>
    <r>
      <rPr>
        <sz val="10"/>
        <rFont val="Arial"/>
        <family val="0"/>
      </rPr>
      <t xml:space="preserve">)  </t>
    </r>
  </si>
  <si>
    <r>
      <t>Beta</t>
    </r>
    <r>
      <rPr>
        <vertAlign val="superscript"/>
        <sz val="10"/>
        <rFont val="Arial"/>
        <family val="2"/>
      </rPr>
      <t>3</t>
    </r>
  </si>
  <si>
    <r>
      <t>2</t>
    </r>
    <r>
      <rPr>
        <sz val="10"/>
        <rFont val="Arial"/>
        <family val="2"/>
      </rPr>
      <t xml:space="preserve">Comparable firm </t>
    </r>
    <r>
      <rPr>
        <sz val="10"/>
        <rFont val="Arial"/>
        <family val="0"/>
      </rPr>
      <t>unlevered Bu = B</t>
    </r>
    <r>
      <rPr>
        <vertAlign val="subscript"/>
        <sz val="10"/>
        <rFont val="Arial"/>
        <family val="2"/>
      </rPr>
      <t>l</t>
    </r>
    <r>
      <rPr>
        <sz val="10"/>
        <rFont val="Arial"/>
        <family val="0"/>
      </rPr>
      <t>/(1+(D/E)(1-t))</t>
    </r>
  </si>
  <si>
    <r>
      <t>3</t>
    </r>
    <r>
      <rPr>
        <sz val="10"/>
        <rFont val="Arial"/>
        <family val="0"/>
      </rPr>
      <t>Firm's levered beta B</t>
    </r>
    <r>
      <rPr>
        <vertAlign val="subscript"/>
        <sz val="10"/>
        <rFont val="Arial"/>
        <family val="2"/>
      </rPr>
      <t>l</t>
    </r>
    <r>
      <rPr>
        <sz val="10"/>
        <rFont val="Arial"/>
        <family val="0"/>
      </rPr>
      <t xml:space="preserve"> = Bu(1.0+(D/E)(1-t))</t>
    </r>
  </si>
  <si>
    <t>2004-10 Adj. Eq. CF/Terminal Value</t>
  </si>
  <si>
    <r>
      <t>Factor</t>
    </r>
    <r>
      <rPr>
        <vertAlign val="superscript"/>
        <sz val="10"/>
        <rFont val="Arial"/>
        <family val="2"/>
      </rPr>
      <t>4</t>
    </r>
  </si>
  <si>
    <t xml:space="preserve"> from generated by investment made at each level of the D/E ratio.  For example, present value in 206 is expressed as follows:</t>
  </si>
  <si>
    <r>
      <t>4</t>
    </r>
    <r>
      <rPr>
        <sz val="10"/>
        <rFont val="Arial"/>
        <family val="0"/>
      </rPr>
      <t xml:space="preserve">Because of the changing D/E ratio, the the discount factor is expressed in multiplicative form to reflect the differing cash flow streams </t>
    </r>
  </si>
  <si>
    <t xml:space="preserve">                                                                  Year</t>
  </si>
  <si>
    <t>Adjusted Enterprise Cash Flow</t>
  </si>
  <si>
    <t xml:space="preserve">Cum.Discount </t>
  </si>
  <si>
    <t>PV of Adj. Equity Cash Flow @ 26%</t>
  </si>
  <si>
    <r>
      <t xml:space="preserve"> Pv</t>
    </r>
    <r>
      <rPr>
        <vertAlign val="subscript"/>
        <sz val="10"/>
        <rFont val="Arial"/>
        <family val="2"/>
      </rPr>
      <t>2006</t>
    </r>
    <r>
      <rPr>
        <sz val="10"/>
        <rFont val="Arial"/>
        <family val="0"/>
      </rPr>
      <t xml:space="preserve"> = 1.0 / ((1.258)(1.220)(1.199)) = .5438 </t>
    </r>
  </si>
  <si>
    <t>Market Value of Preferred Equity               22</t>
  </si>
  <si>
    <r>
      <t>Equity</t>
    </r>
    <r>
      <rPr>
        <vertAlign val="superscript"/>
        <sz val="10"/>
        <rFont val="Arial"/>
        <family val="2"/>
      </rPr>
      <t xml:space="preserve">1                                                                     </t>
    </r>
    <r>
      <rPr>
        <sz val="10"/>
        <rFont val="Arial"/>
        <family val="2"/>
      </rPr>
      <t>25</t>
    </r>
  </si>
  <si>
    <r>
      <t>1</t>
    </r>
    <r>
      <rPr>
        <sz val="10"/>
        <rFont val="Arial"/>
        <family val="0"/>
      </rPr>
      <t xml:space="preserve">Market value of common equity is assumed to grow by the rate of growth in income available to common; preferred equity is assumed equal </t>
    </r>
  </si>
  <si>
    <t xml:space="preserve"> to its book value; and debt is equal to its repayment schedule.</t>
  </si>
  <si>
    <t>Debt                                                       47</t>
  </si>
  <si>
    <t>Market Value of Common Equity                3</t>
  </si>
  <si>
    <t>Internal Rates of Return and Net Present Value Calculations</t>
  </si>
  <si>
    <t>Valuation Cash Flow</t>
  </si>
  <si>
    <r>
      <t>Adjusted Equity Cash Flow</t>
    </r>
    <r>
      <rPr>
        <vertAlign val="superscript"/>
        <sz val="10"/>
        <rFont val="Arial"/>
        <family val="2"/>
      </rPr>
      <t>1</t>
    </r>
  </si>
  <si>
    <t>Perform.</t>
  </si>
  <si>
    <r>
      <t>1</t>
    </r>
    <r>
      <rPr>
        <sz val="10"/>
        <rFont val="Arial"/>
        <family val="0"/>
      </rPr>
      <t>Net Income + Interest Expense(1-t) + Depreciation &amp; Amortization - Gross Capital Spending -  Chg. In Working Capital - Principal Repayments - Chg. In</t>
    </r>
  </si>
  <si>
    <r>
      <t xml:space="preserve">  </t>
    </r>
    <r>
      <rPr>
        <sz val="10"/>
        <rFont val="Arial"/>
        <family val="2"/>
      </rPr>
      <t xml:space="preserve">Invest. Available for Sale (I.e., Increases in such investments are a negative cash flow entry, but represent cash in excess of normal operating needs.) </t>
    </r>
  </si>
  <si>
    <r>
      <t>2</t>
    </r>
    <r>
      <rPr>
        <sz val="10"/>
        <rFont val="Arial"/>
        <family val="0"/>
      </rPr>
      <t>EBIT(1-t) + Depreciation &amp; Amortization - Gross Capital Spending - Chg. in Working Capital - Chg. In Invest Available for Sale</t>
    </r>
  </si>
  <si>
    <t xml:space="preserve">New Senior Debt Interest Expense </t>
  </si>
  <si>
    <t>Subordinated Debt Interest Expense</t>
  </si>
  <si>
    <r>
      <t>1</t>
    </r>
    <r>
      <rPr>
        <sz val="10"/>
        <rFont val="Arial"/>
        <family val="0"/>
      </rPr>
      <t>Free cash flow available to pay dividends or buy-back stock and is the sum of equity cash flow minus the change in investments available for sale.</t>
    </r>
  </si>
  <si>
    <r>
      <t>2</t>
    </r>
    <r>
      <rPr>
        <sz val="10"/>
        <rFont val="Arial"/>
        <family val="0"/>
      </rPr>
      <t>Equal annual payments (PMT) over 7 years, where  = PVA (PV of an annuity) / PVIAF</t>
    </r>
    <r>
      <rPr>
        <vertAlign val="subscript"/>
        <sz val="10"/>
        <rFont val="Arial"/>
        <family val="2"/>
      </rPr>
      <t>7,9</t>
    </r>
    <r>
      <rPr>
        <sz val="10"/>
        <rFont val="Arial"/>
        <family val="0"/>
      </rPr>
      <t xml:space="preserve">.  PVIAF is the PV interest factor for an annuity for 7 years </t>
    </r>
  </si>
  <si>
    <t xml:space="preserve"> at 9% interest.</t>
  </si>
  <si>
    <t xml:space="preserve">Initial Cash Investment = $25 </t>
  </si>
  <si>
    <r>
      <t>1</t>
    </r>
    <r>
      <rPr>
        <sz val="10"/>
        <rFont val="Arial"/>
        <family val="0"/>
      </rPr>
      <t>Free cash flow available to pay dividends or buy-back stock and is the sum of equity cash flow minus the  change in investments available for sale.</t>
    </r>
  </si>
  <si>
    <t xml:space="preserve"> Note that increases in such investments are denoted as negative cash flow entries, but represent cash in excess of what is required to meet </t>
  </si>
  <si>
    <t xml:space="preserve"> normal operating requirements.</t>
  </si>
  <si>
    <t>Assumptions: Adjusted Equity Cash Flow</t>
  </si>
  <si>
    <t>Present Value of Adjusted Equity Cash Flow</t>
  </si>
  <si>
    <t xml:space="preserve">   Adjustments to Reconcile Net Income to Net Cash Flow</t>
  </si>
  <si>
    <t>Fully Diluted</t>
  </si>
  <si>
    <r>
      <t>Adjusted Enterprise Cash Flow</t>
    </r>
    <r>
      <rPr>
        <vertAlign val="superscript"/>
        <sz val="10"/>
        <rFont val="Arial"/>
        <family val="2"/>
      </rPr>
      <t>2</t>
    </r>
  </si>
  <si>
    <t>Adjusted Equity Cash Flow</t>
  </si>
  <si>
    <t>Total Debt/Adjusted Enterprise Cash Flow</t>
  </si>
  <si>
    <t>Total Liab. &amp; Shareholders' Equity</t>
  </si>
  <si>
    <t xml:space="preserve">   (Increase) Decrease in Investments Available for Sale</t>
  </si>
  <si>
    <t>Adjusted  Enterprise Cash Flow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</si>
</sst>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[Red]&quot;$&quot;#,##0.00"/>
    <numFmt numFmtId="165" formatCode="&quot;$&quot;#,##0;[Red]&quot;$&quot;#,##0"/>
    <numFmt numFmtId="166" formatCode="#,##0;[Red]#,##0"/>
    <numFmt numFmtId="167" formatCode="&quot;$&quot;#,##0"/>
    <numFmt numFmtId="168" formatCode="00000"/>
    <numFmt numFmtId="169" formatCode="0.0"/>
    <numFmt numFmtId="170" formatCode="#,##0.0"/>
    <numFmt numFmtId="171" formatCode="0.000"/>
    <numFmt numFmtId="172" formatCode="&quot;$&quot;#,##0.000_);[Red]\(&quot;$&quot;#,##0.000\)"/>
    <numFmt numFmtId="173" formatCode="0.0_);\(0.0\)"/>
    <numFmt numFmtId="174" formatCode="0.0_);[Red]\(0.0\)"/>
    <numFmt numFmtId="175" formatCode="#,##0.0000000000"/>
    <numFmt numFmtId="176" formatCode="0.0;[Red]0.0"/>
    <numFmt numFmtId="177" formatCode="&quot;$&quot;#,##0.0"/>
    <numFmt numFmtId="178" formatCode="0.0%"/>
    <numFmt numFmtId="179" formatCode="&quot;$&quot;#,##0.00"/>
    <numFmt numFmtId="180" formatCode="&quot;$&quot;#,##0.0_);[Red]\(&quot;$&quot;#,##0.0\)"/>
    <numFmt numFmtId="181" formatCode="&quot;$&quot;#,##0.0;[Red]&quot;$&quot;#,##0.0"/>
    <numFmt numFmtId="182" formatCode="0;[Red]0"/>
    <numFmt numFmtId="183" formatCode="0.0000"/>
    <numFmt numFmtId="184" formatCode="0.00000"/>
    <numFmt numFmtId="185" formatCode="0.0000000"/>
    <numFmt numFmtId="186" formatCode="0.000%"/>
    <numFmt numFmtId="187" formatCode="0.00_);\(0.00\)"/>
    <numFmt numFmtId="188" formatCode="#,##0.0;[Red]#,##0.0"/>
    <numFmt numFmtId="189" formatCode="_(* #,##0.0_);_(* \(#,##0.0\);_(* &quot;-&quot;??_);_(@_)"/>
    <numFmt numFmtId="190" formatCode="_(* #,##0.000_);_(* \(#,##0.000\);_(* &quot;-&quot;??_);_(@_)"/>
    <numFmt numFmtId="191" formatCode="_(* #,##0.0000_);_(* \(#,##0.0000\);_(* &quot;-&quot;??_);_(@_)"/>
    <numFmt numFmtId="192" formatCode="_(* #,##0.0_);_(* \(#,##0.0\);_(* &quot;-&quot;_);_(@_)"/>
    <numFmt numFmtId="193" formatCode="_(* #,##0.00_);_(* \(#,##0.00\);_(* &quot;-&quot;_);_(@_)"/>
    <numFmt numFmtId="194" formatCode="_(* #,##0.000_);_(* \(#,##0.000\);_(* &quot;-&quot;_);_(@_)"/>
    <numFmt numFmtId="195" formatCode="#,##0.0_);\(#,##0.0\)"/>
    <numFmt numFmtId="196" formatCode="_(* #,##0.0_);_(* \(#,##0.0\);_(* &quot;-&quot;?_);_(@_)"/>
    <numFmt numFmtId="197" formatCode="_(&quot;$&quot;* #,##0.0_);_(&quot;$&quot;* \(#,##0.0\);_(&quot;$&quot;* &quot;-&quot;?_);_(@_)"/>
    <numFmt numFmtId="198" formatCode="#,##0.0_);[Red]\(#,##0.0\)"/>
    <numFmt numFmtId="199" formatCode="0.0000000000000000%"/>
    <numFmt numFmtId="200" formatCode="&quot;$&quot;#,##0.000"/>
    <numFmt numFmtId="201" formatCode="0.00000000"/>
    <numFmt numFmtId="202" formatCode="0.000000"/>
    <numFmt numFmtId="203" formatCode="0.000;[Red]0.000"/>
  </numFmts>
  <fonts count="5">
    <font>
      <sz val="10"/>
      <name val="Arial"/>
      <family val="0"/>
    </font>
    <font>
      <b/>
      <sz val="10"/>
      <name val="Arial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169" fontId="0" fillId="0" borderId="0" xfId="0" applyNumberFormat="1" applyAlignment="1">
      <alignment/>
    </xf>
    <xf numFmtId="170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170" fontId="0" fillId="0" borderId="1" xfId="0" applyNumberFormat="1" applyBorder="1" applyAlignment="1">
      <alignment/>
    </xf>
    <xf numFmtId="0" fontId="0" fillId="0" borderId="1" xfId="0" applyBorder="1" applyAlignment="1">
      <alignment horizontal="right"/>
    </xf>
    <xf numFmtId="2" fontId="0" fillId="0" borderId="0" xfId="0" applyNumberFormat="1" applyAlignment="1">
      <alignment/>
    </xf>
    <xf numFmtId="177" fontId="0" fillId="0" borderId="0" xfId="0" applyNumberFormat="1" applyAlignment="1">
      <alignment/>
    </xf>
    <xf numFmtId="169" fontId="0" fillId="0" borderId="1" xfId="0" applyNumberFormat="1" applyBorder="1" applyAlignment="1">
      <alignment/>
    </xf>
    <xf numFmtId="169" fontId="0" fillId="0" borderId="0" xfId="0" applyNumberFormat="1" applyBorder="1" applyAlignment="1">
      <alignment/>
    </xf>
    <xf numFmtId="0" fontId="3" fillId="0" borderId="0" xfId="0" applyFont="1" applyAlignment="1">
      <alignment/>
    </xf>
    <xf numFmtId="169" fontId="0" fillId="0" borderId="2" xfId="0" applyNumberFormat="1" applyBorder="1" applyAlignment="1">
      <alignment/>
    </xf>
    <xf numFmtId="0" fontId="3" fillId="0" borderId="0" xfId="0" applyFont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177" fontId="0" fillId="0" borderId="0" xfId="0" applyNumberFormat="1" applyBorder="1" applyAlignment="1">
      <alignment/>
    </xf>
    <xf numFmtId="178" fontId="0" fillId="0" borderId="0" xfId="0" applyNumberFormat="1" applyBorder="1" applyAlignment="1">
      <alignment/>
    </xf>
    <xf numFmtId="177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177" fontId="0" fillId="0" borderId="6" xfId="0" applyNumberFormat="1" applyBorder="1" applyAlignment="1">
      <alignment/>
    </xf>
    <xf numFmtId="178" fontId="0" fillId="0" borderId="4" xfId="0" applyNumberFormat="1" applyBorder="1" applyAlignment="1">
      <alignment/>
    </xf>
    <xf numFmtId="177" fontId="0" fillId="0" borderId="1" xfId="0" applyNumberFormat="1" applyBorder="1" applyAlignment="1">
      <alignment/>
    </xf>
    <xf numFmtId="0" fontId="0" fillId="0" borderId="6" xfId="0" applyBorder="1" applyAlignment="1">
      <alignment/>
    </xf>
    <xf numFmtId="0" fontId="1" fillId="0" borderId="3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170" fontId="0" fillId="0" borderId="0" xfId="0" applyNumberFormat="1" applyBorder="1" applyAlignment="1">
      <alignment/>
    </xf>
    <xf numFmtId="0" fontId="0" fillId="0" borderId="4" xfId="0" applyBorder="1" applyAlignment="1">
      <alignment horizontal="center"/>
    </xf>
    <xf numFmtId="169" fontId="0" fillId="0" borderId="6" xfId="0" applyNumberFormat="1" applyBorder="1" applyAlignment="1">
      <alignment/>
    </xf>
    <xf numFmtId="181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1" xfId="0" applyNumberFormat="1" applyBorder="1" applyAlignment="1">
      <alignment/>
    </xf>
    <xf numFmtId="170" fontId="0" fillId="0" borderId="0" xfId="0" applyNumberFormat="1" applyBorder="1" applyAlignment="1">
      <alignment horizontal="right"/>
    </xf>
    <xf numFmtId="169" fontId="0" fillId="0" borderId="4" xfId="0" applyNumberFormat="1" applyBorder="1" applyAlignment="1">
      <alignment/>
    </xf>
    <xf numFmtId="178" fontId="0" fillId="0" borderId="1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1" fillId="0" borderId="0" xfId="0" applyFont="1" applyAlignment="1">
      <alignment/>
    </xf>
    <xf numFmtId="173" fontId="0" fillId="0" borderId="0" xfId="0" applyNumberFormat="1" applyBorder="1" applyAlignment="1">
      <alignment/>
    </xf>
    <xf numFmtId="173" fontId="0" fillId="0" borderId="0" xfId="0" applyNumberFormat="1" applyAlignment="1">
      <alignment/>
    </xf>
    <xf numFmtId="188" fontId="0" fillId="0" borderId="0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188" fontId="0" fillId="0" borderId="4" xfId="0" applyNumberFormat="1" applyBorder="1" applyAlignment="1">
      <alignment/>
    </xf>
    <xf numFmtId="173" fontId="0" fillId="0" borderId="4" xfId="0" applyNumberFormat="1" applyBorder="1" applyAlignment="1">
      <alignment/>
    </xf>
    <xf numFmtId="0" fontId="0" fillId="0" borderId="7" xfId="0" applyBorder="1" applyAlignment="1">
      <alignment/>
    </xf>
    <xf numFmtId="169" fontId="0" fillId="0" borderId="10" xfId="0" applyNumberFormat="1" applyBorder="1" applyAlignment="1">
      <alignment/>
    </xf>
    <xf numFmtId="173" fontId="0" fillId="0" borderId="2" xfId="0" applyNumberFormat="1" applyBorder="1" applyAlignment="1">
      <alignment/>
    </xf>
    <xf numFmtId="179" fontId="0" fillId="0" borderId="0" xfId="0" applyNumberFormat="1" applyBorder="1" applyAlignment="1">
      <alignment/>
    </xf>
    <xf numFmtId="9" fontId="0" fillId="0" borderId="0" xfId="0" applyNumberFormat="1" applyBorder="1" applyAlignment="1">
      <alignment/>
    </xf>
    <xf numFmtId="9" fontId="0" fillId="0" borderId="1" xfId="0" applyNumberFormat="1" applyBorder="1" applyAlignment="1">
      <alignment/>
    </xf>
    <xf numFmtId="179" fontId="0" fillId="0" borderId="1" xfId="0" applyNumberFormat="1" applyBorder="1" applyAlignment="1">
      <alignment/>
    </xf>
    <xf numFmtId="171" fontId="0" fillId="0" borderId="0" xfId="0" applyNumberFormat="1" applyBorder="1" applyAlignment="1">
      <alignment/>
    </xf>
    <xf numFmtId="0" fontId="0" fillId="0" borderId="10" xfId="0" applyBorder="1" applyAlignment="1">
      <alignment/>
    </xf>
    <xf numFmtId="171" fontId="0" fillId="0" borderId="1" xfId="0" applyNumberFormat="1" applyBorder="1" applyAlignment="1">
      <alignment/>
    </xf>
    <xf numFmtId="171" fontId="0" fillId="0" borderId="6" xfId="0" applyNumberFormat="1" applyBorder="1" applyAlignment="1">
      <alignment/>
    </xf>
    <xf numFmtId="177" fontId="0" fillId="0" borderId="8" xfId="0" applyNumberFormat="1" applyBorder="1" applyAlignment="1">
      <alignment/>
    </xf>
    <xf numFmtId="177" fontId="0" fillId="0" borderId="9" xfId="0" applyNumberFormat="1" applyBorder="1" applyAlignment="1">
      <alignment/>
    </xf>
    <xf numFmtId="169" fontId="0" fillId="0" borderId="11" xfId="0" applyNumberFormat="1" applyBorder="1" applyAlignment="1">
      <alignment/>
    </xf>
    <xf numFmtId="169" fontId="0" fillId="0" borderId="8" xfId="0" applyNumberFormat="1" applyBorder="1" applyAlignment="1">
      <alignment/>
    </xf>
    <xf numFmtId="0" fontId="0" fillId="0" borderId="5" xfId="0" applyBorder="1" applyAlignment="1">
      <alignment/>
    </xf>
    <xf numFmtId="196" fontId="0" fillId="0" borderId="0" xfId="0" applyNumberFormat="1" applyBorder="1" applyAlignment="1">
      <alignment/>
    </xf>
    <xf numFmtId="195" fontId="0" fillId="0" borderId="0" xfId="0" applyNumberFormat="1" applyBorder="1" applyAlignment="1">
      <alignment/>
    </xf>
    <xf numFmtId="196" fontId="0" fillId="0" borderId="2" xfId="0" applyNumberFormat="1" applyBorder="1" applyAlignment="1">
      <alignment/>
    </xf>
    <xf numFmtId="173" fontId="0" fillId="0" borderId="10" xfId="0" applyNumberFormat="1" applyBorder="1" applyAlignment="1">
      <alignment/>
    </xf>
    <xf numFmtId="173" fontId="0" fillId="0" borderId="1" xfId="0" applyNumberFormat="1" applyBorder="1" applyAlignment="1">
      <alignment/>
    </xf>
    <xf numFmtId="183" fontId="0" fillId="0" borderId="0" xfId="0" applyNumberFormat="1" applyBorder="1" applyAlignment="1">
      <alignment/>
    </xf>
    <xf numFmtId="0" fontId="0" fillId="0" borderId="0" xfId="0" applyFont="1" applyAlignment="1">
      <alignment horizontal="left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76" fontId="1" fillId="0" borderId="12" xfId="0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3" fillId="0" borderId="8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5" xfId="0" applyBorder="1" applyAlignment="1">
      <alignment/>
    </xf>
    <xf numFmtId="0" fontId="0" fillId="0" borderId="1" xfId="0" applyBorder="1" applyAlignment="1">
      <alignment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0" xfId="0" applyFont="1" applyAlignment="1">
      <alignment/>
    </xf>
    <xf numFmtId="0" fontId="0" fillId="0" borderId="3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169" fontId="0" fillId="0" borderId="3" xfId="0" applyNumberFormat="1" applyBorder="1" applyAlignment="1">
      <alignment/>
    </xf>
    <xf numFmtId="169" fontId="0" fillId="0" borderId="0" xfId="0" applyNumberForma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workbookViewId="0" topLeftCell="A1">
      <selection activeCell="B16" sqref="B16:G16"/>
    </sheetView>
  </sheetViews>
  <sheetFormatPr defaultColWidth="9.140625" defaultRowHeight="12.75"/>
  <cols>
    <col min="1" max="1" width="11.8515625" style="0" customWidth="1"/>
  </cols>
  <sheetData>
    <row r="1" spans="4:8" ht="12.75">
      <c r="D1" s="83" t="s">
        <v>8</v>
      </c>
      <c r="E1" s="83"/>
      <c r="F1" s="83"/>
      <c r="G1" s="83"/>
      <c r="H1" s="83"/>
    </row>
    <row r="3" spans="1:13" ht="12.75">
      <c r="A3" s="3" t="s">
        <v>0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</row>
    <row r="4" spans="1:13" ht="12.75">
      <c r="A4" s="3"/>
      <c r="B4" s="83" t="s">
        <v>169</v>
      </c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</row>
    <row r="5" spans="2:13" ht="12.75">
      <c r="B5" s="83" t="s">
        <v>170</v>
      </c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</row>
    <row r="6" spans="2:13" ht="12.75">
      <c r="B6" s="83" t="s">
        <v>171</v>
      </c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</row>
    <row r="8" ht="12.75">
      <c r="A8" s="3" t="s">
        <v>1</v>
      </c>
    </row>
    <row r="9" spans="1:2" ht="12.75">
      <c r="A9">
        <v>1</v>
      </c>
      <c r="B9" t="s">
        <v>2</v>
      </c>
    </row>
    <row r="10" spans="1:2" ht="12.75">
      <c r="A10">
        <v>2</v>
      </c>
      <c r="B10" t="s">
        <v>3</v>
      </c>
    </row>
    <row r="11" spans="1:6" ht="12.75">
      <c r="A11">
        <v>3</v>
      </c>
      <c r="B11" s="83" t="s">
        <v>4</v>
      </c>
      <c r="C11" s="83"/>
      <c r="D11" s="83"/>
      <c r="E11" s="83"/>
      <c r="F11" s="83"/>
    </row>
    <row r="12" spans="1:6" ht="12.75">
      <c r="A12">
        <v>4</v>
      </c>
      <c r="B12" s="83" t="s">
        <v>6</v>
      </c>
      <c r="C12" s="83"/>
      <c r="D12" s="83"/>
      <c r="E12" s="83"/>
      <c r="F12" s="83"/>
    </row>
    <row r="13" spans="1:6" ht="12.75">
      <c r="A13">
        <v>5</v>
      </c>
      <c r="B13" s="83" t="s">
        <v>7</v>
      </c>
      <c r="C13" s="83"/>
      <c r="D13" s="83"/>
      <c r="E13" s="83"/>
      <c r="F13" s="83"/>
    </row>
    <row r="14" spans="1:2" ht="12.75">
      <c r="A14">
        <v>6</v>
      </c>
      <c r="B14" t="s">
        <v>5</v>
      </c>
    </row>
    <row r="15" spans="1:7" ht="12.75">
      <c r="A15">
        <v>7</v>
      </c>
      <c r="B15" s="83" t="s">
        <v>168</v>
      </c>
      <c r="C15" s="83"/>
      <c r="D15" s="83"/>
      <c r="E15" s="83"/>
      <c r="F15" s="83"/>
      <c r="G15" s="83"/>
    </row>
    <row r="16" spans="1:7" ht="12.75">
      <c r="A16">
        <v>8</v>
      </c>
      <c r="B16" s="83" t="s">
        <v>229</v>
      </c>
      <c r="C16" s="83"/>
      <c r="D16" s="83"/>
      <c r="E16" s="83"/>
      <c r="F16" s="83"/>
      <c r="G16" s="83"/>
    </row>
  </sheetData>
  <mergeCells count="10">
    <mergeCell ref="B16:G16"/>
    <mergeCell ref="B15:G15"/>
    <mergeCell ref="D1:H1"/>
    <mergeCell ref="B11:F11"/>
    <mergeCell ref="B12:F12"/>
    <mergeCell ref="B13:F13"/>
    <mergeCell ref="B3:M3"/>
    <mergeCell ref="B5:M5"/>
    <mergeCell ref="B6:M6"/>
    <mergeCell ref="B4:M4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5"/>
  <sheetViews>
    <sheetView workbookViewId="0" topLeftCell="A1">
      <selection activeCell="C39" sqref="C39"/>
    </sheetView>
  </sheetViews>
  <sheetFormatPr defaultColWidth="9.140625" defaultRowHeight="12.75"/>
  <cols>
    <col min="1" max="1" width="15.28125" style="0" customWidth="1"/>
    <col min="2" max="2" width="19.7109375" style="0" customWidth="1"/>
    <col min="3" max="3" width="9.00390625" style="0" customWidth="1"/>
    <col min="4" max="4" width="8.28125" style="0" customWidth="1"/>
    <col min="5" max="5" width="8.140625" style="0" customWidth="1"/>
    <col min="6" max="6" width="8.00390625" style="0" customWidth="1"/>
    <col min="7" max="7" width="10.140625" style="0" customWidth="1"/>
    <col min="8" max="8" width="9.28125" style="0" customWidth="1"/>
    <col min="9" max="11" width="9.57421875" style="0" customWidth="1"/>
    <col min="12" max="12" width="11.00390625" style="0" customWidth="1"/>
  </cols>
  <sheetData>
    <row r="1" spans="3:9" ht="12.75">
      <c r="C1" s="86" t="s">
        <v>9</v>
      </c>
      <c r="D1" s="87"/>
      <c r="E1" s="87"/>
      <c r="F1" s="87"/>
      <c r="G1" s="87"/>
      <c r="H1" s="83"/>
      <c r="I1" s="83"/>
    </row>
    <row r="3" spans="1:12" ht="12.75">
      <c r="A3" s="88" t="s">
        <v>129</v>
      </c>
      <c r="B3" s="91"/>
      <c r="C3" s="91"/>
      <c r="D3" s="89"/>
      <c r="E3" s="89"/>
      <c r="F3" s="89"/>
      <c r="G3" s="90"/>
      <c r="I3" s="88" t="s">
        <v>12</v>
      </c>
      <c r="J3" s="89"/>
      <c r="K3" s="89"/>
      <c r="L3" s="90"/>
    </row>
    <row r="4" spans="1:12" ht="12.75">
      <c r="A4" s="18"/>
      <c r="B4" s="19"/>
      <c r="C4" s="19"/>
      <c r="D4" s="19" t="s">
        <v>98</v>
      </c>
      <c r="E4" s="19"/>
      <c r="F4" s="19"/>
      <c r="G4" s="20"/>
      <c r="I4" s="18"/>
      <c r="J4" s="19"/>
      <c r="K4" s="19" t="s">
        <v>118</v>
      </c>
      <c r="L4" s="20" t="s">
        <v>127</v>
      </c>
    </row>
    <row r="5" spans="1:12" ht="12.75">
      <c r="A5" s="18" t="s">
        <v>96</v>
      </c>
      <c r="B5" s="19"/>
      <c r="C5" s="19" t="s">
        <v>97</v>
      </c>
      <c r="D5" s="19" t="s">
        <v>99</v>
      </c>
      <c r="E5" s="19" t="s">
        <v>100</v>
      </c>
      <c r="F5" s="19"/>
      <c r="G5" s="20" t="s">
        <v>97</v>
      </c>
      <c r="I5" s="84" t="s">
        <v>119</v>
      </c>
      <c r="J5" s="85"/>
      <c r="K5" s="19" t="s">
        <v>117</v>
      </c>
      <c r="L5" s="20" t="s">
        <v>128</v>
      </c>
    </row>
    <row r="6" spans="1:12" ht="12.75">
      <c r="A6" s="84" t="s">
        <v>110</v>
      </c>
      <c r="B6" s="85"/>
      <c r="C6" s="21">
        <v>0</v>
      </c>
      <c r="D6" s="22">
        <v>0</v>
      </c>
      <c r="E6" s="85" t="s">
        <v>101</v>
      </c>
      <c r="F6" s="85"/>
      <c r="G6" s="23">
        <v>70</v>
      </c>
      <c r="I6" s="84" t="s">
        <v>119</v>
      </c>
      <c r="J6" s="85"/>
      <c r="K6" s="21">
        <v>12</v>
      </c>
      <c r="L6" s="26">
        <f>K6/K13</f>
        <v>0.16666666666666666</v>
      </c>
    </row>
    <row r="7" spans="1:12" ht="12.75">
      <c r="A7" s="18" t="s">
        <v>65</v>
      </c>
      <c r="B7" s="19"/>
      <c r="C7" s="21">
        <v>12</v>
      </c>
      <c r="D7" s="22">
        <v>0.09</v>
      </c>
      <c r="E7" s="85" t="s">
        <v>111</v>
      </c>
      <c r="F7" s="85"/>
      <c r="G7" s="23">
        <v>0</v>
      </c>
      <c r="I7" s="84" t="s">
        <v>120</v>
      </c>
      <c r="J7" s="85"/>
      <c r="K7" s="21">
        <v>20</v>
      </c>
      <c r="L7" s="26">
        <f>K7/K13</f>
        <v>0.2777777777777778</v>
      </c>
    </row>
    <row r="8" spans="1:12" ht="12.75">
      <c r="A8" s="18" t="s">
        <v>66</v>
      </c>
      <c r="B8" s="19"/>
      <c r="C8" s="21">
        <v>20</v>
      </c>
      <c r="D8" s="22">
        <v>0.09</v>
      </c>
      <c r="E8" s="85" t="s">
        <v>112</v>
      </c>
      <c r="F8" s="85"/>
      <c r="G8" s="23">
        <v>0</v>
      </c>
      <c r="I8" s="84" t="s">
        <v>121</v>
      </c>
      <c r="J8" s="85"/>
      <c r="K8" s="21">
        <v>15</v>
      </c>
      <c r="L8" s="26">
        <f>K8/K13</f>
        <v>0.20833333333333334</v>
      </c>
    </row>
    <row r="9" spans="1:12" ht="12.75">
      <c r="A9" s="18" t="s">
        <v>68</v>
      </c>
      <c r="B9" s="19"/>
      <c r="C9" s="21">
        <v>15</v>
      </c>
      <c r="D9" s="22">
        <v>0.12</v>
      </c>
      <c r="E9" s="85" t="s">
        <v>113</v>
      </c>
      <c r="F9" s="85"/>
      <c r="G9" s="23">
        <v>0</v>
      </c>
      <c r="I9" s="84" t="s">
        <v>122</v>
      </c>
      <c r="J9" s="85"/>
      <c r="K9" s="21">
        <f>SUM(K6:K8)</f>
        <v>47</v>
      </c>
      <c r="L9" s="26">
        <f>K9/K13</f>
        <v>0.6527777777777778</v>
      </c>
    </row>
    <row r="10" spans="1:12" ht="12.75">
      <c r="A10" s="18" t="s">
        <v>67</v>
      </c>
      <c r="B10" s="19"/>
      <c r="C10" s="21">
        <v>22</v>
      </c>
      <c r="D10" s="22">
        <v>0.12</v>
      </c>
      <c r="E10" s="85" t="s">
        <v>114</v>
      </c>
      <c r="F10" s="85"/>
      <c r="G10" s="23">
        <f>SUM(G6:G9)</f>
        <v>70</v>
      </c>
      <c r="I10" s="84" t="s">
        <v>124</v>
      </c>
      <c r="J10" s="85"/>
      <c r="K10" s="21">
        <v>22</v>
      </c>
      <c r="L10" s="26">
        <f>K10/K13</f>
        <v>0.3055555555555556</v>
      </c>
    </row>
    <row r="11" spans="1:12" ht="12.75">
      <c r="A11" s="18" t="s">
        <v>103</v>
      </c>
      <c r="B11" s="19"/>
      <c r="C11" s="21">
        <v>3</v>
      </c>
      <c r="D11" s="22">
        <v>0</v>
      </c>
      <c r="E11" s="85" t="s">
        <v>115</v>
      </c>
      <c r="F11" s="85"/>
      <c r="G11" s="23">
        <v>0</v>
      </c>
      <c r="I11" s="84" t="s">
        <v>123</v>
      </c>
      <c r="J11" s="85"/>
      <c r="K11" s="21">
        <v>3</v>
      </c>
      <c r="L11" s="26">
        <f>K11/K13</f>
        <v>0.041666666666666664</v>
      </c>
    </row>
    <row r="12" spans="1:12" ht="12.75">
      <c r="A12" s="18"/>
      <c r="B12" s="19"/>
      <c r="C12" s="21">
        <f>SUM(C6:C11)</f>
        <v>72</v>
      </c>
      <c r="D12" s="19"/>
      <c r="E12" s="85" t="s">
        <v>102</v>
      </c>
      <c r="F12" s="85"/>
      <c r="G12" s="23">
        <v>2</v>
      </c>
      <c r="I12" s="84" t="s">
        <v>125</v>
      </c>
      <c r="J12" s="85"/>
      <c r="K12" s="21">
        <f>K10+K11</f>
        <v>25</v>
      </c>
      <c r="L12" s="26">
        <f>K12/K13</f>
        <v>0.3472222222222222</v>
      </c>
    </row>
    <row r="13" spans="1:12" ht="12.75">
      <c r="A13" s="24"/>
      <c r="B13" s="7"/>
      <c r="C13" s="7"/>
      <c r="D13" s="7"/>
      <c r="E13" s="7"/>
      <c r="F13" s="7"/>
      <c r="G13" s="25">
        <f>SUM(G10:G12)</f>
        <v>72</v>
      </c>
      <c r="I13" s="100" t="s">
        <v>126</v>
      </c>
      <c r="J13" s="101"/>
      <c r="K13" s="27">
        <f>K9+K12</f>
        <v>72</v>
      </c>
      <c r="L13" s="28"/>
    </row>
    <row r="14" spans="1:12" ht="12.75">
      <c r="A14" s="88" t="s">
        <v>149</v>
      </c>
      <c r="B14" s="91"/>
      <c r="C14" s="89"/>
      <c r="D14" s="89"/>
      <c r="E14" s="89"/>
      <c r="F14" s="92"/>
      <c r="G14" s="92"/>
      <c r="H14" s="92"/>
      <c r="I14" s="92"/>
      <c r="J14" s="92"/>
      <c r="K14" s="92"/>
      <c r="L14" s="93"/>
    </row>
    <row r="15" spans="1:12" ht="12.75">
      <c r="A15" s="29"/>
      <c r="B15" s="30"/>
      <c r="C15" s="89" t="s">
        <v>148</v>
      </c>
      <c r="D15" s="89"/>
      <c r="E15" s="89"/>
      <c r="F15" s="102" t="s">
        <v>135</v>
      </c>
      <c r="G15" s="103"/>
      <c r="H15" s="102" t="s">
        <v>147</v>
      </c>
      <c r="I15" s="103"/>
      <c r="J15" s="103"/>
      <c r="K15" s="103"/>
      <c r="L15" s="103"/>
    </row>
    <row r="16" spans="1:12" ht="12.75">
      <c r="A16" s="29"/>
      <c r="B16" s="30"/>
      <c r="C16" s="19"/>
      <c r="D16" s="19"/>
      <c r="E16" s="19"/>
      <c r="F16" s="94"/>
      <c r="G16" s="94"/>
      <c r="H16" s="19"/>
      <c r="I16" s="19"/>
      <c r="J16" s="19" t="s">
        <v>137</v>
      </c>
      <c r="K16" s="19" t="s">
        <v>253</v>
      </c>
      <c r="L16" s="20" t="s">
        <v>269</v>
      </c>
    </row>
    <row r="17" spans="1:12" ht="12.75">
      <c r="A17" s="18"/>
      <c r="B17" s="19"/>
      <c r="C17" s="31" t="s">
        <v>132</v>
      </c>
      <c r="D17" s="31" t="s">
        <v>133</v>
      </c>
      <c r="E17" s="31" t="s">
        <v>134</v>
      </c>
      <c r="F17" s="19" t="s">
        <v>132</v>
      </c>
      <c r="G17" s="19" t="s">
        <v>133</v>
      </c>
      <c r="H17" s="19" t="s">
        <v>132</v>
      </c>
      <c r="I17" s="19" t="s">
        <v>136</v>
      </c>
      <c r="J17" s="19" t="s">
        <v>138</v>
      </c>
      <c r="K17" s="19" t="s">
        <v>139</v>
      </c>
      <c r="L17" s="20" t="s">
        <v>138</v>
      </c>
    </row>
    <row r="18" spans="1:12" ht="12.75">
      <c r="A18" s="18" t="s">
        <v>130</v>
      </c>
      <c r="B18" s="19"/>
      <c r="C18" s="32">
        <v>1.5</v>
      </c>
      <c r="D18" s="32">
        <v>22</v>
      </c>
      <c r="E18" s="32">
        <v>23.5</v>
      </c>
      <c r="F18" s="22">
        <v>0.5</v>
      </c>
      <c r="G18" s="22">
        <v>1</v>
      </c>
      <c r="H18" s="22">
        <v>0.5</v>
      </c>
      <c r="I18" s="22">
        <v>0</v>
      </c>
      <c r="J18" s="22">
        <v>0.5</v>
      </c>
      <c r="K18" s="22">
        <v>0</v>
      </c>
      <c r="L18" s="26">
        <v>0.5</v>
      </c>
    </row>
    <row r="19" spans="1:12" ht="12.75">
      <c r="A19" s="18" t="s">
        <v>131</v>
      </c>
      <c r="B19" s="19"/>
      <c r="C19" s="32">
        <v>1.5</v>
      </c>
      <c r="D19" s="32">
        <v>0</v>
      </c>
      <c r="E19" s="32">
        <v>1.5</v>
      </c>
      <c r="F19" s="22">
        <v>0.5</v>
      </c>
      <c r="G19" s="22">
        <v>0</v>
      </c>
      <c r="H19" s="22">
        <v>0.5</v>
      </c>
      <c r="I19" s="22">
        <v>0</v>
      </c>
      <c r="J19" s="22">
        <v>0.5</v>
      </c>
      <c r="K19" s="22">
        <v>0</v>
      </c>
      <c r="L19" s="26">
        <v>0.5</v>
      </c>
    </row>
    <row r="20" spans="1:12" ht="12.75">
      <c r="A20" s="18" t="s">
        <v>140</v>
      </c>
      <c r="B20" s="19"/>
      <c r="C20" s="21">
        <v>3</v>
      </c>
      <c r="D20" s="21">
        <v>22</v>
      </c>
      <c r="E20" s="21">
        <v>25</v>
      </c>
      <c r="F20" s="22">
        <v>1</v>
      </c>
      <c r="G20" s="22">
        <v>1</v>
      </c>
      <c r="H20" s="22">
        <v>1</v>
      </c>
      <c r="I20" s="22">
        <v>0</v>
      </c>
      <c r="J20" s="22">
        <v>1</v>
      </c>
      <c r="K20" s="22">
        <v>0</v>
      </c>
      <c r="L20" s="26">
        <v>1</v>
      </c>
    </row>
    <row r="21" spans="1:12" ht="12.75">
      <c r="A21" s="24"/>
      <c r="B21" s="7"/>
      <c r="C21" s="7"/>
      <c r="D21" s="7"/>
      <c r="E21" s="7"/>
      <c r="F21" s="7"/>
      <c r="G21" s="7"/>
      <c r="H21" s="7"/>
      <c r="I21" s="7"/>
      <c r="J21" s="7"/>
      <c r="K21" s="7"/>
      <c r="L21" s="28"/>
    </row>
    <row r="22" spans="1:12" ht="12.75">
      <c r="A22" s="88" t="s">
        <v>175</v>
      </c>
      <c r="B22" s="91"/>
      <c r="C22" s="89"/>
      <c r="D22" s="89"/>
      <c r="E22" s="89"/>
      <c r="F22" s="89"/>
      <c r="G22" s="89"/>
      <c r="H22" s="89"/>
      <c r="I22" s="89"/>
      <c r="J22" s="89"/>
      <c r="K22" s="89"/>
      <c r="L22" s="90"/>
    </row>
    <row r="23" spans="1:12" ht="12.75">
      <c r="A23" s="29"/>
      <c r="B23" s="30"/>
      <c r="C23" s="94" t="s">
        <v>178</v>
      </c>
      <c r="D23" s="94"/>
      <c r="E23" s="94"/>
      <c r="F23" s="19"/>
      <c r="G23" s="94" t="s">
        <v>180</v>
      </c>
      <c r="H23" s="94"/>
      <c r="I23" s="94"/>
      <c r="J23" s="94" t="s">
        <v>179</v>
      </c>
      <c r="K23" s="87"/>
      <c r="L23" s="95"/>
    </row>
    <row r="24" spans="1:12" ht="12.75">
      <c r="A24" s="18"/>
      <c r="B24" s="19"/>
      <c r="C24" s="31" t="s">
        <v>150</v>
      </c>
      <c r="D24" s="31" t="s">
        <v>151</v>
      </c>
      <c r="E24" s="31" t="s">
        <v>152</v>
      </c>
      <c r="F24" s="31"/>
      <c r="G24" s="31" t="s">
        <v>150</v>
      </c>
      <c r="H24" s="31" t="s">
        <v>151</v>
      </c>
      <c r="I24" s="31" t="s">
        <v>152</v>
      </c>
      <c r="J24" s="31" t="s">
        <v>150</v>
      </c>
      <c r="K24" s="31" t="s">
        <v>151</v>
      </c>
      <c r="L24" s="33" t="s">
        <v>152</v>
      </c>
    </row>
    <row r="25" spans="1:12" ht="14.25">
      <c r="A25" s="84" t="s">
        <v>230</v>
      </c>
      <c r="B25" s="83"/>
      <c r="C25" s="19"/>
      <c r="D25" s="19"/>
      <c r="E25" s="19"/>
      <c r="F25" s="19"/>
      <c r="G25" s="85"/>
      <c r="H25" s="85"/>
      <c r="I25" s="19"/>
      <c r="J25" s="19"/>
      <c r="K25" s="19"/>
      <c r="L25" s="20"/>
    </row>
    <row r="26" spans="1:12" ht="12.75">
      <c r="A26" s="18">
        <v>8</v>
      </c>
      <c r="B26" s="19"/>
      <c r="C26" s="36">
        <f>IRR!C14</f>
        <v>0.41522604232177596</v>
      </c>
      <c r="D26" s="36">
        <f>IRR!C15</f>
        <v>0.3534768249849647</v>
      </c>
      <c r="E26" s="36">
        <f>IRR!C16</f>
        <v>0.3250059994842577</v>
      </c>
      <c r="F26" s="19"/>
      <c r="G26" s="35">
        <f>E18*(1+C26)^3</f>
        <v>66.61089933482809</v>
      </c>
      <c r="H26" s="35">
        <f>E18*(1+D26)^4</f>
        <v>78.86261214326035</v>
      </c>
      <c r="I26" s="21">
        <f>E18*(1+E26)^5</f>
        <v>95.9747712885998</v>
      </c>
      <c r="J26" s="21">
        <f>E19*(1+C26)^3</f>
        <v>4.251759532010303</v>
      </c>
      <c r="K26" s="21">
        <f>E19*(1+D26)^4</f>
        <v>5.033783753825128</v>
      </c>
      <c r="L26" s="21">
        <f>E19*(1+E26)^5</f>
        <v>6.126049231187221</v>
      </c>
    </row>
    <row r="27" spans="1:12" ht="12.75">
      <c r="A27" s="18">
        <v>9</v>
      </c>
      <c r="B27" s="19"/>
      <c r="C27" s="36">
        <f>IRR!C18</f>
        <v>0.46446255565548655</v>
      </c>
      <c r="D27" s="36">
        <f>IRR!C19</f>
        <v>0.3853762771986416</v>
      </c>
      <c r="E27" s="36">
        <f>IRR!C20</f>
        <v>0.3478005867252045</v>
      </c>
      <c r="F27" s="19"/>
      <c r="G27" s="21">
        <f>E18*(1+C27)^3</f>
        <v>73.80787092420725</v>
      </c>
      <c r="H27" s="21">
        <f>E18*(1+D27)^4</f>
        <v>86.56430544279273</v>
      </c>
      <c r="I27" s="21">
        <f>E18*(1+E27)^5</f>
        <v>104.51919778600045</v>
      </c>
      <c r="J27" s="21">
        <f>E19*(1+C27)^3</f>
        <v>4.711140697289824</v>
      </c>
      <c r="K27" s="21">
        <f>E19*(1+D27)^4</f>
        <v>5.525381198476132</v>
      </c>
      <c r="L27" s="23">
        <f>E19*(1+E27)^5</f>
        <v>6.67143815655322</v>
      </c>
    </row>
    <row r="28" spans="1:12" ht="12.75">
      <c r="A28" s="24">
        <v>10</v>
      </c>
      <c r="B28" s="7"/>
      <c r="C28" s="37">
        <f>IRR!C22</f>
        <v>0.5105543426703228</v>
      </c>
      <c r="D28" s="37">
        <f>IRR!C23</f>
        <v>0.4151260834276226</v>
      </c>
      <c r="E28" s="37">
        <f>IRR!C24</f>
        <v>0.3690463821418887</v>
      </c>
      <c r="F28" s="7"/>
      <c r="G28" s="27">
        <f>E18*(1+C28)^3</f>
        <v>80.99849016612065</v>
      </c>
      <c r="H28" s="27">
        <f>E18*(1+D28)^4</f>
        <v>94.24284885536387</v>
      </c>
      <c r="I28" s="27">
        <f>E18*(1+E28)^5</f>
        <v>113.02087671663091</v>
      </c>
      <c r="J28" s="27">
        <f>E19*(1+C28)^3</f>
        <v>5.170116393582169</v>
      </c>
      <c r="K28" s="27">
        <f>E19*(1+D28)^4</f>
        <v>6.015500990767906</v>
      </c>
      <c r="L28" s="25">
        <f>E19*(1+E28)^5</f>
        <v>7.214098513827505</v>
      </c>
    </row>
    <row r="29" spans="1:12" ht="12.75">
      <c r="A29" s="88" t="s">
        <v>182</v>
      </c>
      <c r="B29" s="91"/>
      <c r="C29" s="89"/>
      <c r="D29" s="89"/>
      <c r="E29" s="89"/>
      <c r="F29" s="89"/>
      <c r="G29" s="89"/>
      <c r="H29" s="89"/>
      <c r="I29" s="89"/>
      <c r="J29" s="89"/>
      <c r="K29" s="89"/>
      <c r="L29" s="90"/>
    </row>
    <row r="30" spans="1:12" ht="12.75">
      <c r="A30" s="96"/>
      <c r="B30" s="97"/>
      <c r="C30" s="19">
        <v>2001</v>
      </c>
      <c r="D30" s="19">
        <v>2002</v>
      </c>
      <c r="E30" s="19">
        <v>2003</v>
      </c>
      <c r="F30" s="19">
        <v>2004</v>
      </c>
      <c r="G30" s="19">
        <v>2005</v>
      </c>
      <c r="H30" s="19">
        <v>2006</v>
      </c>
      <c r="I30" s="19">
        <v>2007</v>
      </c>
      <c r="J30" s="19">
        <v>2008</v>
      </c>
      <c r="K30" s="19">
        <v>2009</v>
      </c>
      <c r="L30" s="20">
        <v>2010</v>
      </c>
    </row>
    <row r="31" spans="1:12" ht="12.75">
      <c r="A31" s="84" t="s">
        <v>13</v>
      </c>
      <c r="B31" s="85"/>
      <c r="C31" s="21">
        <f>'Income Statement'!D10</f>
        <v>177.6</v>
      </c>
      <c r="D31" s="21">
        <f>'Income Statement'!E10</f>
        <v>183.46079999999998</v>
      </c>
      <c r="E31" s="21">
        <f>'Income Statement'!F10</f>
        <v>190.43231039999998</v>
      </c>
      <c r="F31" s="21">
        <f>'Income Statement'!G10</f>
        <v>197.09744126399997</v>
      </c>
      <c r="G31" s="21">
        <f>'Income Statement'!H10</f>
        <v>204.98133891455998</v>
      </c>
      <c r="H31" s="21">
        <f>'Income Statement'!I10</f>
        <v>214.20549916571517</v>
      </c>
      <c r="I31" s="21">
        <f>'Income Statement'!J10</f>
        <v>223.84474662817235</v>
      </c>
      <c r="J31" s="21">
        <f>'Income Statement'!K10</f>
        <v>233.9177602264401</v>
      </c>
      <c r="K31" s="21">
        <f>'Income Statement'!L10</f>
        <v>244.44405943662989</v>
      </c>
      <c r="L31" s="23">
        <f>'Income Statement'!M10</f>
        <v>255.4440421112782</v>
      </c>
    </row>
    <row r="32" spans="1:12" ht="12.75">
      <c r="A32" s="18" t="s">
        <v>141</v>
      </c>
      <c r="B32" s="18"/>
      <c r="C32" s="22">
        <f>'Income Statement'!D4</f>
        <v>0.042</v>
      </c>
      <c r="D32" s="22">
        <f>'Income Statement'!E4</f>
        <v>0.033</v>
      </c>
      <c r="E32" s="22">
        <f>'Income Statement'!F4</f>
        <v>0.038</v>
      </c>
      <c r="F32" s="22">
        <f>'Income Statement'!G4</f>
        <v>0.035</v>
      </c>
      <c r="G32" s="22">
        <f>'Income Statement'!H4</f>
        <v>0.04</v>
      </c>
      <c r="H32" s="22">
        <f>'Income Statement'!I4</f>
        <v>0.045</v>
      </c>
      <c r="I32" s="22">
        <f>'Income Statement'!J4</f>
        <v>0.045</v>
      </c>
      <c r="J32" s="22">
        <f>'Income Statement'!K4</f>
        <v>0.045</v>
      </c>
      <c r="K32" s="22">
        <f>'Income Statement'!L4</f>
        <v>0.045</v>
      </c>
      <c r="L32" s="26">
        <f>'Income Statement'!M4</f>
        <v>0.045</v>
      </c>
    </row>
    <row r="33" spans="1:12" ht="12.75">
      <c r="A33" s="18" t="s">
        <v>142</v>
      </c>
      <c r="B33" s="18"/>
      <c r="C33" s="22">
        <f>'Income Statement'!D18/'Income Statement'!D10</f>
        <v>0.05479279279279266</v>
      </c>
      <c r="D33" s="22">
        <f>'Income Statement'!E18/'Income Statement'!E10</f>
        <v>0.01252274927395941</v>
      </c>
      <c r="E33" s="22">
        <f>'Income Statement'!F18/'Income Statement'!F10</f>
        <v>0.05118689788053947</v>
      </c>
      <c r="F33" s="22">
        <f>'Income Statement'!G18/'Income Statement'!G10</f>
        <v>0.08464664170630849</v>
      </c>
      <c r="G33" s="22">
        <f>'Income Statement'!H18/'Income Statement'!H10</f>
        <v>0.09507290427910559</v>
      </c>
      <c r="H33" s="22">
        <f>'Income Statement'!I18/'Income Statement'!I10</f>
        <v>0.10152431031493366</v>
      </c>
      <c r="I33" s="22">
        <f>'Income Statement'!J18/'Income Statement'!J10</f>
        <v>0.11164492962991288</v>
      </c>
      <c r="J33" s="22">
        <f>'Income Statement'!K18/'Income Statement'!K10</f>
        <v>0.1138978581783475</v>
      </c>
      <c r="K33" s="22">
        <f>'Income Statement'!L18/'Income Statement'!L10</f>
        <v>0.11391626729825148</v>
      </c>
      <c r="L33" s="26">
        <f>'Income Statement'!M18/'Income Statement'!M10</f>
        <v>0.11393388368093484</v>
      </c>
    </row>
    <row r="34" spans="1:12" ht="14.25">
      <c r="A34" s="84" t="s">
        <v>270</v>
      </c>
      <c r="B34" s="85"/>
      <c r="C34" s="21">
        <f>'Cash Flow'!D44</f>
        <v>4.161343999999986</v>
      </c>
      <c r="D34" s="21">
        <f>'Cash Flow'!E44</f>
        <v>0.2149883520000042</v>
      </c>
      <c r="E34" s="21">
        <f>'Cash Flow'!F44</f>
        <v>0.09912753945599917</v>
      </c>
      <c r="F34" s="21">
        <f>'Cash Flow'!G44</f>
        <v>9.54467857531681</v>
      </c>
      <c r="G34" s="21">
        <f>'Cash Flow'!H44</f>
        <v>9.579958371608527</v>
      </c>
      <c r="H34" s="21">
        <f>'Cash Flow'!I44</f>
        <v>10.770276927666867</v>
      </c>
      <c r="I34" s="21">
        <f>'Cash Flow'!J44</f>
        <v>12.951576982180885</v>
      </c>
      <c r="J34" s="21">
        <f>'Cash Flow'!K44</f>
        <v>13.442010045149054</v>
      </c>
      <c r="K34" s="21">
        <f>'Cash Flow'!L44</f>
        <v>14.168874090312052</v>
      </c>
      <c r="L34" s="21">
        <f>'Cash Flow'!M44</f>
        <v>14.934383603017867</v>
      </c>
    </row>
    <row r="35" spans="1:12" ht="12.75">
      <c r="A35" s="84" t="s">
        <v>271</v>
      </c>
      <c r="B35" s="85"/>
      <c r="C35" s="21">
        <f>'Cash Flow'!D43</f>
        <v>4.161343999999986</v>
      </c>
      <c r="D35" s="21">
        <f>'Cash Flow'!E43</f>
        <v>0.2149883520000042</v>
      </c>
      <c r="E35" s="21">
        <f>'Cash Flow'!F43</f>
        <v>0.09912753945599917</v>
      </c>
      <c r="F35" s="21">
        <f>'Cash Flow'!G43</f>
        <v>0.3205508868351892</v>
      </c>
      <c r="G35" s="21">
        <f>'Cash Flow'!H43</f>
        <v>0.18448320502310978</v>
      </c>
      <c r="H35" s="21">
        <f>'Cash Flow'!I43</f>
        <v>1.8478907261529924</v>
      </c>
      <c r="I35" s="21">
        <f>'Cash Flow'!J43</f>
        <v>7.441041928180885</v>
      </c>
      <c r="J35" s="21">
        <f>'Cash Flow'!K43</f>
        <v>7.656314617409054</v>
      </c>
      <c r="K35" s="21">
        <f>'Cash Flow'!L43</f>
        <v>8.079551588929851</v>
      </c>
      <c r="L35" s="21">
        <f>'Cash Flow'!M43</f>
        <v>8.509961053148196</v>
      </c>
    </row>
    <row r="36" spans="1:12" ht="12.75">
      <c r="A36" s="18" t="s">
        <v>145</v>
      </c>
      <c r="B36" s="18"/>
      <c r="C36" s="19">
        <f>'Balance Sheet'!B35</f>
        <v>0</v>
      </c>
      <c r="D36" s="19">
        <f>'Balance Sheet'!C35</f>
        <v>0</v>
      </c>
      <c r="E36" s="21">
        <f>'Balance Sheet'!F35</f>
        <v>47</v>
      </c>
      <c r="F36" s="21">
        <f>'Balance Sheet'!G35</f>
        <v>39.49990903684479</v>
      </c>
      <c r="G36" s="21">
        <f>'Balance Sheet'!H35</f>
        <v>31.53955920151387</v>
      </c>
      <c r="H36" s="21">
        <f>'Balance Sheet'!I35</f>
        <v>23.769754999999996</v>
      </c>
      <c r="I36" s="21">
        <f>'Balance Sheet'!J35</f>
        <v>19.245529909999995</v>
      </c>
      <c r="J36" s="21">
        <f>'Balance Sheet'!K35</f>
        <v>14.262704197099996</v>
      </c>
      <c r="K36" s="21">
        <f>'Balance Sheet'!L35</f>
        <v>8.773833361462994</v>
      </c>
      <c r="L36" s="23">
        <f>'Balance Sheet'!M35</f>
        <v>2.6914056913715196</v>
      </c>
    </row>
    <row r="37" spans="1:12" ht="12.75">
      <c r="A37" s="84" t="s">
        <v>272</v>
      </c>
      <c r="B37" s="85"/>
      <c r="C37" s="32">
        <f>C36/C34</f>
        <v>0</v>
      </c>
      <c r="D37" s="32">
        <f aca="true" t="shared" si="0" ref="D37:L37">D36/D34</f>
        <v>0</v>
      </c>
      <c r="E37" s="38" t="s">
        <v>181</v>
      </c>
      <c r="F37" s="32">
        <f t="shared" si="0"/>
        <v>4.138422129687452</v>
      </c>
      <c r="G37" s="32">
        <f t="shared" si="0"/>
        <v>3.2922438676754093</v>
      </c>
      <c r="H37" s="32">
        <f t="shared" si="0"/>
        <v>2.20697714270836</v>
      </c>
      <c r="I37" s="32">
        <f t="shared" si="0"/>
        <v>1.48596035343638</v>
      </c>
      <c r="J37" s="32">
        <f t="shared" si="0"/>
        <v>1.0610544218605993</v>
      </c>
      <c r="K37" s="32">
        <f t="shared" si="0"/>
        <v>0.6192329260277704</v>
      </c>
      <c r="L37" s="32">
        <f t="shared" si="0"/>
        <v>0.18021538504124493</v>
      </c>
    </row>
    <row r="38" spans="1:12" ht="12.75">
      <c r="A38" s="84" t="s">
        <v>146</v>
      </c>
      <c r="B38" s="85"/>
      <c r="C38" s="19">
        <v>0</v>
      </c>
      <c r="D38" s="19">
        <v>0</v>
      </c>
      <c r="E38" s="19">
        <v>0</v>
      </c>
      <c r="F38" s="14">
        <f>'Income Statement'!G18/'Income Statement'!G23</f>
        <v>3.626877498239998</v>
      </c>
      <c r="G38" s="14">
        <f>'Income Statement'!H18/'Income Statement'!H23</f>
        <v>4.923368924444046</v>
      </c>
      <c r="H38" s="14">
        <f>'Income Statement'!I18/'Income Statement'!I23</f>
        <v>6.62726307947704</v>
      </c>
      <c r="I38" s="14">
        <f>'Income Statement'!J18/'Income Statement'!J23</f>
        <v>10.135203697618929</v>
      </c>
      <c r="J38" s="14">
        <f>'Income Statement'!K18/'Income Statement'!K23</f>
        <v>13.27375108922985</v>
      </c>
      <c r="K38" s="14">
        <f>'Income Statement'!L18/'Income Statement'!L23</f>
        <v>18.550139105497458</v>
      </c>
      <c r="L38" s="14">
        <f>'Income Statement'!M18/'Income Statement'!M23</f>
        <v>30.87506240659449</v>
      </c>
    </row>
    <row r="39" spans="1:12" ht="12.75">
      <c r="A39" s="84" t="s">
        <v>242</v>
      </c>
      <c r="B39" s="85"/>
      <c r="C39" s="21">
        <f>NPV!G30</f>
        <v>57.192554274598265</v>
      </c>
      <c r="D39" s="19"/>
      <c r="E39" s="14"/>
      <c r="F39" s="14"/>
      <c r="G39" s="14"/>
      <c r="H39" s="14"/>
      <c r="I39" s="14"/>
      <c r="J39" s="14"/>
      <c r="K39" s="14"/>
      <c r="L39" s="39"/>
    </row>
    <row r="40" spans="1:12" ht="12.75">
      <c r="A40" s="100" t="s">
        <v>235</v>
      </c>
      <c r="B40" s="101"/>
      <c r="C40" s="40">
        <f>NPV!G28/NPV!G29</f>
        <v>0.28057295865071563</v>
      </c>
      <c r="D40" s="7"/>
      <c r="E40" s="13"/>
      <c r="F40" s="13"/>
      <c r="G40" s="13"/>
      <c r="H40" s="13"/>
      <c r="I40" s="13"/>
      <c r="J40" s="13"/>
      <c r="K40" s="13"/>
      <c r="L40" s="34"/>
    </row>
    <row r="41" spans="1:12" ht="14.25">
      <c r="A41" s="98" t="s">
        <v>254</v>
      </c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4.25">
      <c r="A42" s="99" t="s">
        <v>255</v>
      </c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</row>
    <row r="43" spans="1:12" ht="14.25">
      <c r="A43" s="99" t="s">
        <v>256</v>
      </c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</row>
    <row r="44" spans="1:12" ht="12.75">
      <c r="A44" s="83"/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</row>
    <row r="45" spans="1:12" ht="12.75">
      <c r="A45" s="83" t="s">
        <v>153</v>
      </c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</row>
  </sheetData>
  <mergeCells count="45">
    <mergeCell ref="A42:L42"/>
    <mergeCell ref="I8:J8"/>
    <mergeCell ref="A6:B6"/>
    <mergeCell ref="E6:F6"/>
    <mergeCell ref="E7:F7"/>
    <mergeCell ref="E8:F8"/>
    <mergeCell ref="H15:L15"/>
    <mergeCell ref="F15:G15"/>
    <mergeCell ref="A38:B38"/>
    <mergeCell ref="I12:J12"/>
    <mergeCell ref="A29:L29"/>
    <mergeCell ref="E12:F12"/>
    <mergeCell ref="C15:E15"/>
    <mergeCell ref="I13:J13"/>
    <mergeCell ref="A22:L22"/>
    <mergeCell ref="A43:L43"/>
    <mergeCell ref="G25:H25"/>
    <mergeCell ref="A40:B40"/>
    <mergeCell ref="E9:F9"/>
    <mergeCell ref="E10:F10"/>
    <mergeCell ref="E11:F11"/>
    <mergeCell ref="A35:B35"/>
    <mergeCell ref="A25:B25"/>
    <mergeCell ref="C23:E23"/>
    <mergeCell ref="F16:G16"/>
    <mergeCell ref="I6:J6"/>
    <mergeCell ref="G23:I23"/>
    <mergeCell ref="A45:L45"/>
    <mergeCell ref="J23:L23"/>
    <mergeCell ref="A30:B30"/>
    <mergeCell ref="A31:B31"/>
    <mergeCell ref="A44:L44"/>
    <mergeCell ref="A39:B39"/>
    <mergeCell ref="A41:L41"/>
    <mergeCell ref="A34:B34"/>
    <mergeCell ref="I7:J7"/>
    <mergeCell ref="A37:B37"/>
    <mergeCell ref="C1:I1"/>
    <mergeCell ref="I3:L3"/>
    <mergeCell ref="A3:G3"/>
    <mergeCell ref="A14:L14"/>
    <mergeCell ref="I9:J9"/>
    <mergeCell ref="I10:J10"/>
    <mergeCell ref="I11:J11"/>
    <mergeCell ref="I5:J5"/>
  </mergeCells>
  <printOptions/>
  <pageMargins left="0.69" right="0.5" top="0.5" bottom="0.5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8"/>
  <sheetViews>
    <sheetView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O12" sqref="O12"/>
    </sheetView>
  </sheetViews>
  <sheetFormatPr defaultColWidth="9.140625" defaultRowHeight="12.75"/>
  <cols>
    <col min="3" max="3" width="12.57421875" style="0" customWidth="1"/>
    <col min="4" max="12" width="8.7109375" style="0" customWidth="1"/>
    <col min="13" max="13" width="9.28125" style="0" customWidth="1"/>
  </cols>
  <sheetData>
    <row r="1" spans="1:13" ht="12.75">
      <c r="A1" s="82" t="s">
        <v>10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</row>
    <row r="2" spans="1:13" ht="12.75">
      <c r="A2" s="53"/>
      <c r="B2" s="49"/>
      <c r="C2" s="49"/>
      <c r="D2" s="88" t="s">
        <v>29</v>
      </c>
      <c r="E2" s="91"/>
      <c r="F2" s="91"/>
      <c r="G2" s="88" t="s">
        <v>62</v>
      </c>
      <c r="H2" s="91"/>
      <c r="I2" s="91"/>
      <c r="J2" s="91"/>
      <c r="K2" s="91"/>
      <c r="L2" s="91"/>
      <c r="M2" s="77"/>
    </row>
    <row r="3" spans="1:13" ht="12.75">
      <c r="A3" s="84" t="s">
        <v>50</v>
      </c>
      <c r="B3" s="85"/>
      <c r="C3" s="85"/>
      <c r="D3" s="8">
        <v>2001</v>
      </c>
      <c r="E3" s="8">
        <v>2002</v>
      </c>
      <c r="F3" s="8">
        <v>2003</v>
      </c>
      <c r="G3" s="8">
        <v>2004</v>
      </c>
      <c r="H3" s="8">
        <v>2005</v>
      </c>
      <c r="I3" s="8">
        <v>2006</v>
      </c>
      <c r="J3" s="8">
        <v>2007</v>
      </c>
      <c r="K3" s="8">
        <v>2008</v>
      </c>
      <c r="L3" s="8">
        <v>2009</v>
      </c>
      <c r="M3" s="61">
        <v>2010</v>
      </c>
    </row>
    <row r="4" spans="1:13" ht="12.75">
      <c r="A4" s="84" t="s">
        <v>78</v>
      </c>
      <c r="B4" s="85"/>
      <c r="C4" s="85"/>
      <c r="D4" s="60">
        <v>0.042</v>
      </c>
      <c r="E4" s="60">
        <v>0.033</v>
      </c>
      <c r="F4" s="60">
        <v>0.038</v>
      </c>
      <c r="G4" s="60">
        <v>0.035</v>
      </c>
      <c r="H4" s="60">
        <v>0.04</v>
      </c>
      <c r="I4" s="60">
        <v>0.045</v>
      </c>
      <c r="J4" s="60">
        <v>0.045</v>
      </c>
      <c r="K4" s="60">
        <v>0.045</v>
      </c>
      <c r="L4" s="60">
        <v>0.045</v>
      </c>
      <c r="M4" s="60">
        <v>0.045</v>
      </c>
    </row>
    <row r="5" spans="1:15" ht="12.75">
      <c r="A5" s="18" t="s">
        <v>27</v>
      </c>
      <c r="B5" s="19"/>
      <c r="C5" s="19"/>
      <c r="D5" s="60">
        <v>0.805</v>
      </c>
      <c r="E5" s="60">
        <v>0.814</v>
      </c>
      <c r="F5" s="60">
        <v>0.78</v>
      </c>
      <c r="G5" s="60">
        <v>0.765</v>
      </c>
      <c r="H5" s="60">
        <v>0.758</v>
      </c>
      <c r="I5" s="60">
        <v>0.755</v>
      </c>
      <c r="J5" s="60">
        <v>0.75</v>
      </c>
      <c r="K5" s="60">
        <v>0.75</v>
      </c>
      <c r="L5" s="60">
        <v>0.75</v>
      </c>
      <c r="M5" s="60">
        <v>0.75</v>
      </c>
      <c r="N5" s="11"/>
      <c r="O5" s="11"/>
    </row>
    <row r="6" spans="1:13" ht="12.75">
      <c r="A6" s="18" t="s">
        <v>28</v>
      </c>
      <c r="B6" s="19"/>
      <c r="C6" s="19"/>
      <c r="D6" s="60">
        <v>0.133</v>
      </c>
      <c r="E6" s="60">
        <v>0.144</v>
      </c>
      <c r="F6" s="60">
        <v>0.142</v>
      </c>
      <c r="G6" s="60">
        <v>0.135</v>
      </c>
      <c r="H6" s="60">
        <v>0.13</v>
      </c>
      <c r="I6" s="60">
        <v>0.125</v>
      </c>
      <c r="J6" s="60">
        <v>0.12</v>
      </c>
      <c r="K6" s="60">
        <v>0.12</v>
      </c>
      <c r="L6" s="60">
        <v>0.12</v>
      </c>
      <c r="M6" s="60">
        <v>0.12</v>
      </c>
    </row>
    <row r="7" spans="1:13" ht="12.75">
      <c r="A7" s="100" t="s">
        <v>105</v>
      </c>
      <c r="B7" s="101"/>
      <c r="C7" s="101"/>
      <c r="D7" s="62">
        <v>0.4</v>
      </c>
      <c r="E7" s="62">
        <v>0.4</v>
      </c>
      <c r="F7" s="62">
        <v>0.4</v>
      </c>
      <c r="G7" s="62">
        <v>0.4</v>
      </c>
      <c r="H7" s="62">
        <v>0.4</v>
      </c>
      <c r="I7" s="62">
        <v>0.4</v>
      </c>
      <c r="J7" s="62">
        <v>0.4</v>
      </c>
      <c r="K7" s="62">
        <v>0.4</v>
      </c>
      <c r="L7" s="62">
        <v>0.4</v>
      </c>
      <c r="M7" s="63">
        <v>0.4</v>
      </c>
    </row>
    <row r="10" spans="1:16" ht="12.75">
      <c r="A10" s="53" t="s">
        <v>13</v>
      </c>
      <c r="B10" s="49"/>
      <c r="C10" s="49"/>
      <c r="D10" s="64">
        <v>177.6</v>
      </c>
      <c r="E10" s="64">
        <f aca="true" t="shared" si="0" ref="E10:M10">D10*(1+E4)</f>
        <v>183.46079999999998</v>
      </c>
      <c r="F10" s="64">
        <f t="shared" si="0"/>
        <v>190.43231039999998</v>
      </c>
      <c r="G10" s="64">
        <f t="shared" si="0"/>
        <v>197.09744126399997</v>
      </c>
      <c r="H10" s="64">
        <f t="shared" si="0"/>
        <v>204.98133891455998</v>
      </c>
      <c r="I10" s="64">
        <f t="shared" si="0"/>
        <v>214.20549916571517</v>
      </c>
      <c r="J10" s="64">
        <f t="shared" si="0"/>
        <v>223.84474662817235</v>
      </c>
      <c r="K10" s="64">
        <f t="shared" si="0"/>
        <v>233.9177602264401</v>
      </c>
      <c r="L10" s="64">
        <f t="shared" si="0"/>
        <v>244.44405943662989</v>
      </c>
      <c r="M10" s="65">
        <f t="shared" si="0"/>
        <v>255.4440421112782</v>
      </c>
      <c r="N10" s="1"/>
      <c r="O10" s="1"/>
      <c r="P10" s="1"/>
    </row>
    <row r="11" spans="1:13" ht="12.75">
      <c r="A11" s="84" t="s">
        <v>14</v>
      </c>
      <c r="B11" s="85"/>
      <c r="C11" s="85"/>
      <c r="D11" s="13">
        <f aca="true" t="shared" si="1" ref="D11:M11">D10*D5</f>
        <v>142.96800000000002</v>
      </c>
      <c r="E11" s="13">
        <f t="shared" si="1"/>
        <v>149.33709119999997</v>
      </c>
      <c r="F11" s="13">
        <f t="shared" si="1"/>
        <v>148.537202112</v>
      </c>
      <c r="G11" s="13">
        <f t="shared" si="1"/>
        <v>150.77954256695998</v>
      </c>
      <c r="H11" s="13">
        <f t="shared" si="1"/>
        <v>155.37585489723648</v>
      </c>
      <c r="I11" s="13">
        <f t="shared" si="1"/>
        <v>161.72515187011496</v>
      </c>
      <c r="J11" s="13">
        <f t="shared" si="1"/>
        <v>167.88355997112927</v>
      </c>
      <c r="K11" s="13">
        <f t="shared" si="1"/>
        <v>175.43832016983006</v>
      </c>
      <c r="L11" s="13">
        <f t="shared" si="1"/>
        <v>183.3330445774724</v>
      </c>
      <c r="M11" s="34">
        <f t="shared" si="1"/>
        <v>191.58303158345865</v>
      </c>
    </row>
    <row r="12" spans="1:13" ht="12.75">
      <c r="A12" s="41" t="s">
        <v>15</v>
      </c>
      <c r="B12" s="42"/>
      <c r="C12" s="42"/>
      <c r="D12" s="14">
        <f>D10-D11</f>
        <v>34.63199999999998</v>
      </c>
      <c r="E12" s="14">
        <f aca="true" t="shared" si="2" ref="E12:M12">E10-E11</f>
        <v>34.1237088</v>
      </c>
      <c r="F12" s="14">
        <f t="shared" si="2"/>
        <v>41.89510828799999</v>
      </c>
      <c r="G12" s="14">
        <f t="shared" si="2"/>
        <v>46.31789869703999</v>
      </c>
      <c r="H12" s="14">
        <f t="shared" si="2"/>
        <v>49.605484017323505</v>
      </c>
      <c r="I12" s="14">
        <f t="shared" si="2"/>
        <v>52.48034729560021</v>
      </c>
      <c r="J12" s="14">
        <f t="shared" si="2"/>
        <v>55.96118665704307</v>
      </c>
      <c r="K12" s="14">
        <f t="shared" si="2"/>
        <v>58.47944005661003</v>
      </c>
      <c r="L12" s="14">
        <f t="shared" si="2"/>
        <v>61.11101485915748</v>
      </c>
      <c r="M12" s="39">
        <f t="shared" si="2"/>
        <v>63.86101052781956</v>
      </c>
    </row>
    <row r="13" spans="1:13" ht="12.75">
      <c r="A13" s="84" t="s">
        <v>93</v>
      </c>
      <c r="B13" s="85"/>
      <c r="C13" s="85"/>
      <c r="D13" s="14">
        <v>1.28</v>
      </c>
      <c r="E13" s="14">
        <f>'Balance Sheet'!C21-'Balance Sheet'!B21</f>
        <v>5.407919999999997</v>
      </c>
      <c r="F13" s="14">
        <f>'Balance Sheet'!D21-'Balance Sheet'!C21</f>
        <v>5.106080985600002</v>
      </c>
      <c r="G13" s="14">
        <f>'Balance Sheet'!G21-'Balance Sheet'!F21</f>
        <v>2.426107634496006</v>
      </c>
      <c r="H13" s="14">
        <f>'Balance Sheet'!H21-'Balance Sheet'!G21</f>
        <v>2.86973874480384</v>
      </c>
      <c r="I13" s="14">
        <f>'Balance Sheet'!I21-'Balance Sheet'!H21</f>
        <v>3.3575943314204864</v>
      </c>
      <c r="J13" s="14">
        <f>'Balance Sheet'!J21-'Balance Sheet'!I21</f>
        <v>3.5086860763344134</v>
      </c>
      <c r="K13" s="14">
        <f>'Balance Sheet'!K21-'Balance Sheet'!J21</f>
        <v>3.66657694976945</v>
      </c>
      <c r="L13" s="14">
        <f>'Balance Sheet'!L21-'Balance Sheet'!K21</f>
        <v>3.8315729125090883</v>
      </c>
      <c r="M13" s="39">
        <f>'Balance Sheet'!M21-'Balance Sheet'!L21</f>
        <v>4.003993693571985</v>
      </c>
    </row>
    <row r="14" spans="1:13" ht="12.75">
      <c r="A14" s="18" t="s">
        <v>19</v>
      </c>
      <c r="B14" s="19"/>
      <c r="C14" s="19"/>
      <c r="D14" s="13"/>
      <c r="E14" s="13"/>
      <c r="F14" s="13"/>
      <c r="G14" s="13">
        <f>0.5</f>
        <v>0.5</v>
      </c>
      <c r="H14" s="13">
        <v>0.5</v>
      </c>
      <c r="I14" s="13">
        <v>0.5</v>
      </c>
      <c r="J14" s="13">
        <v>0.5</v>
      </c>
      <c r="K14" s="13"/>
      <c r="L14" s="13"/>
      <c r="M14" s="34"/>
    </row>
    <row r="15" spans="1:13" ht="12.75">
      <c r="A15" s="84" t="s">
        <v>107</v>
      </c>
      <c r="B15" s="85"/>
      <c r="C15" s="85"/>
      <c r="D15" s="14">
        <f>D13+D14</f>
        <v>1.28</v>
      </c>
      <c r="E15" s="14">
        <f aca="true" t="shared" si="3" ref="E15:M15">E13+E14</f>
        <v>5.407919999999997</v>
      </c>
      <c r="F15" s="14">
        <f t="shared" si="3"/>
        <v>5.106080985600002</v>
      </c>
      <c r="G15" s="14">
        <f t="shared" si="3"/>
        <v>2.926107634496006</v>
      </c>
      <c r="H15" s="14">
        <f t="shared" si="3"/>
        <v>3.36973874480384</v>
      </c>
      <c r="I15" s="14">
        <f t="shared" si="3"/>
        <v>3.8575943314204864</v>
      </c>
      <c r="J15" s="14">
        <f t="shared" si="3"/>
        <v>4.008686076334413</v>
      </c>
      <c r="K15" s="14">
        <f t="shared" si="3"/>
        <v>3.66657694976945</v>
      </c>
      <c r="L15" s="14">
        <f t="shared" si="3"/>
        <v>3.8315729125090883</v>
      </c>
      <c r="M15" s="39">
        <f t="shared" si="3"/>
        <v>4.003993693571985</v>
      </c>
    </row>
    <row r="16" spans="1:13" ht="12.75">
      <c r="A16" s="18" t="s">
        <v>16</v>
      </c>
      <c r="B16" s="19"/>
      <c r="C16" s="19"/>
      <c r="D16" s="14">
        <f aca="true" t="shared" si="4" ref="D16:M16">D6*D10</f>
        <v>23.6208</v>
      </c>
      <c r="E16" s="14">
        <f t="shared" si="4"/>
        <v>26.418355199999993</v>
      </c>
      <c r="F16" s="14">
        <f t="shared" si="4"/>
        <v>27.041388076799993</v>
      </c>
      <c r="G16" s="14">
        <f t="shared" si="4"/>
        <v>26.608154570639996</v>
      </c>
      <c r="H16" s="14">
        <f t="shared" si="4"/>
        <v>26.6475740588928</v>
      </c>
      <c r="I16" s="14">
        <f t="shared" si="4"/>
        <v>26.775687395714396</v>
      </c>
      <c r="J16" s="14">
        <f t="shared" si="4"/>
        <v>26.86136959538068</v>
      </c>
      <c r="K16" s="14">
        <f t="shared" si="4"/>
        <v>28.070131227172812</v>
      </c>
      <c r="L16" s="14">
        <f t="shared" si="4"/>
        <v>29.333287132395586</v>
      </c>
      <c r="M16" s="39">
        <f t="shared" si="4"/>
        <v>30.653285053353382</v>
      </c>
    </row>
    <row r="17" spans="1:13" ht="12.75">
      <c r="A17" s="18" t="s">
        <v>17</v>
      </c>
      <c r="B17" s="19"/>
      <c r="C17" s="19"/>
      <c r="D17" s="7"/>
      <c r="E17" s="7"/>
      <c r="F17" s="7"/>
      <c r="G17" s="7">
        <v>0.1</v>
      </c>
      <c r="H17" s="7">
        <v>0.1</v>
      </c>
      <c r="I17" s="7">
        <v>0.1</v>
      </c>
      <c r="J17" s="7">
        <v>0.1</v>
      </c>
      <c r="K17" s="7">
        <v>0.1</v>
      </c>
      <c r="L17" s="7">
        <v>0.1</v>
      </c>
      <c r="M17" s="28">
        <v>0.1</v>
      </c>
    </row>
    <row r="18" spans="1:13" ht="12.75">
      <c r="A18" s="18" t="s">
        <v>18</v>
      </c>
      <c r="B18" s="19"/>
      <c r="C18" s="19"/>
      <c r="D18" s="14">
        <f>D12-D15-D16-D17</f>
        <v>9.731199999999976</v>
      </c>
      <c r="E18" s="14">
        <f aca="true" t="shared" si="5" ref="E18:M18">E12-E15-E16-E17</f>
        <v>2.297433600000012</v>
      </c>
      <c r="F18" s="14">
        <f t="shared" si="5"/>
        <v>9.747639225599993</v>
      </c>
      <c r="G18" s="14">
        <f t="shared" si="5"/>
        <v>16.68363649190399</v>
      </c>
      <c r="H18" s="14">
        <f t="shared" si="5"/>
        <v>19.488171213626863</v>
      </c>
      <c r="I18" s="14">
        <f t="shared" si="5"/>
        <v>21.747065568465327</v>
      </c>
      <c r="J18" s="14">
        <f t="shared" si="5"/>
        <v>24.991130985327977</v>
      </c>
      <c r="K18" s="14">
        <f t="shared" si="5"/>
        <v>26.642731879667767</v>
      </c>
      <c r="L18" s="14">
        <f t="shared" si="5"/>
        <v>27.846154814252802</v>
      </c>
      <c r="M18" s="39">
        <f t="shared" si="5"/>
        <v>29.10373178089419</v>
      </c>
    </row>
    <row r="19" spans="1:13" ht="12.75">
      <c r="A19" s="18" t="s">
        <v>20</v>
      </c>
      <c r="B19" s="19"/>
      <c r="C19" s="19"/>
      <c r="D19" s="14">
        <f>0.02*'Balance Sheet'!B15</f>
        <v>0.07104</v>
      </c>
      <c r="E19" s="14">
        <f>0.02*'Balance Sheet'!C15</f>
        <v>0.07338431999999999</v>
      </c>
      <c r="F19" s="14">
        <f>0.02*'Balance Sheet'!D15</f>
        <v>0.07617292415999999</v>
      </c>
      <c r="G19" s="14">
        <f>0.02*'Balance Sheet'!E15</f>
        <v>0</v>
      </c>
      <c r="H19" s="14">
        <f>0.02*'Balance Sheet'!F15</f>
        <v>0.076</v>
      </c>
      <c r="I19" s="14">
        <f>0.02*'Balance Sheet'!G15</f>
        <v>0.081992535565824</v>
      </c>
      <c r="J19" s="14">
        <f>0.02*'Balance Sheet'!H15</f>
        <v>0.08568219966628608</v>
      </c>
      <c r="K19" s="14">
        <f>0.02*'Balance Sheet'!I15</f>
        <v>0.08953789865126893</v>
      </c>
      <c r="L19" s="14">
        <f>0.02*'Balance Sheet'!J15</f>
        <v>0.09356710409057603</v>
      </c>
      <c r="M19" s="39">
        <f>0.02*'Balance Sheet'!K15</f>
        <v>0.09777762377465196</v>
      </c>
    </row>
    <row r="20" spans="1:13" ht="12.75">
      <c r="A20" s="18" t="s">
        <v>21</v>
      </c>
      <c r="B20" s="19"/>
      <c r="C20" s="19"/>
      <c r="D20" s="19"/>
      <c r="E20" s="19"/>
      <c r="F20" s="19"/>
      <c r="G20" s="14">
        <v>1</v>
      </c>
      <c r="H20" s="14">
        <v>0.7</v>
      </c>
      <c r="I20" s="14">
        <v>0.4</v>
      </c>
      <c r="J20" s="14">
        <v>0</v>
      </c>
      <c r="K20" s="14">
        <v>0</v>
      </c>
      <c r="L20" s="14">
        <v>0</v>
      </c>
      <c r="M20" s="39">
        <v>0</v>
      </c>
    </row>
    <row r="21" spans="1:13" ht="12.75">
      <c r="A21" s="18" t="s">
        <v>257</v>
      </c>
      <c r="B21" s="19"/>
      <c r="C21" s="19"/>
      <c r="D21" s="19"/>
      <c r="E21" s="19"/>
      <c r="F21" s="19"/>
      <c r="G21" s="14">
        <f>Financing!D19</f>
        <v>1.7999999999999998</v>
      </c>
      <c r="H21" s="14">
        <f>Financing!E19</f>
        <v>1.6046999999999998</v>
      </c>
      <c r="I21" s="14">
        <f>Financing!F19</f>
        <v>1.3918229999999996</v>
      </c>
      <c r="J21" s="14">
        <f>Financing!G19</f>
        <v>1.1597870699999997</v>
      </c>
      <c r="K21" s="14">
        <f>Financing!H19</f>
        <v>0.9068679062999996</v>
      </c>
      <c r="L21" s="14">
        <f>Financing!I19</f>
        <v>0.6311860178669997</v>
      </c>
      <c r="M21" s="39">
        <f>Financing!J19</f>
        <v>0.3306927594750296</v>
      </c>
    </row>
    <row r="22" spans="1:13" ht="12.75">
      <c r="A22" s="18" t="s">
        <v>258</v>
      </c>
      <c r="B22" s="19"/>
      <c r="C22" s="19"/>
      <c r="D22" s="7"/>
      <c r="E22" s="7"/>
      <c r="F22" s="7"/>
      <c r="G22" s="13">
        <f>Financing!D20</f>
        <v>1.7999999999999998</v>
      </c>
      <c r="H22" s="13">
        <f>Financing!E20</f>
        <v>1.6536</v>
      </c>
      <c r="I22" s="13">
        <f>Financing!F20</f>
        <v>1.4896319999999998</v>
      </c>
      <c r="J22" s="13">
        <f>Financing!G20</f>
        <v>1.30598784</v>
      </c>
      <c r="K22" s="13">
        <f>Financing!H20</f>
        <v>1.1003063808</v>
      </c>
      <c r="L22" s="13">
        <f>Financing!I20</f>
        <v>0.869943146496</v>
      </c>
      <c r="M22" s="34">
        <f>Financing!J20</f>
        <v>0.61193632407552</v>
      </c>
    </row>
    <row r="23" spans="1:13" ht="12.75">
      <c r="A23" s="18" t="s">
        <v>22</v>
      </c>
      <c r="B23" s="19"/>
      <c r="C23" s="19"/>
      <c r="D23" s="19">
        <v>0</v>
      </c>
      <c r="E23" s="19">
        <v>0</v>
      </c>
      <c r="F23" s="19">
        <v>0</v>
      </c>
      <c r="G23" s="14">
        <f>SUM(G20:G22)</f>
        <v>4.6</v>
      </c>
      <c r="H23" s="14">
        <f aca="true" t="shared" si="6" ref="H23:M23">SUM(H20:H22)</f>
        <v>3.9582999999999995</v>
      </c>
      <c r="I23" s="14">
        <f t="shared" si="6"/>
        <v>3.2814549999999993</v>
      </c>
      <c r="J23" s="14">
        <f t="shared" si="6"/>
        <v>2.4657749099999995</v>
      </c>
      <c r="K23" s="14">
        <f t="shared" si="6"/>
        <v>2.0071742871</v>
      </c>
      <c r="L23" s="14">
        <f t="shared" si="6"/>
        <v>1.5011291643629998</v>
      </c>
      <c r="M23" s="39">
        <f t="shared" si="6"/>
        <v>0.9426290835505495</v>
      </c>
    </row>
    <row r="24" spans="1:13" ht="12.75">
      <c r="A24" s="18" t="s">
        <v>23</v>
      </c>
      <c r="B24" s="19"/>
      <c r="C24" s="19"/>
      <c r="D24" s="14">
        <f>D18+D19-D23</f>
        <v>9.802239999999976</v>
      </c>
      <c r="E24" s="14">
        <f aca="true" t="shared" si="7" ref="E24:M24">E18+E19-E23</f>
        <v>2.3708179200000123</v>
      </c>
      <c r="F24" s="14">
        <f t="shared" si="7"/>
        <v>9.823812149759993</v>
      </c>
      <c r="G24" s="14">
        <f t="shared" si="7"/>
        <v>12.08363649190399</v>
      </c>
      <c r="H24" s="14">
        <f t="shared" si="7"/>
        <v>15.605871213626864</v>
      </c>
      <c r="I24" s="14">
        <f t="shared" si="7"/>
        <v>18.547603104031154</v>
      </c>
      <c r="J24" s="14">
        <f t="shared" si="7"/>
        <v>22.611038274994264</v>
      </c>
      <c r="K24" s="14">
        <f t="shared" si="7"/>
        <v>24.725095491219037</v>
      </c>
      <c r="L24" s="14">
        <f t="shared" si="7"/>
        <v>26.438592753980377</v>
      </c>
      <c r="M24" s="39">
        <f t="shared" si="7"/>
        <v>28.25888032111829</v>
      </c>
    </row>
    <row r="25" spans="1:13" ht="12.75">
      <c r="A25" s="18" t="s">
        <v>24</v>
      </c>
      <c r="B25" s="19"/>
      <c r="C25" s="19"/>
      <c r="D25" s="13">
        <f>0.4*D24</f>
        <v>3.9208959999999906</v>
      </c>
      <c r="E25" s="13">
        <f aca="true" t="shared" si="8" ref="E25:M25">0.4*E24</f>
        <v>0.9483271680000049</v>
      </c>
      <c r="F25" s="13">
        <f t="shared" si="8"/>
        <v>3.9295248599039976</v>
      </c>
      <c r="G25" s="13">
        <f t="shared" si="8"/>
        <v>4.833454596761596</v>
      </c>
      <c r="H25" s="13">
        <f t="shared" si="8"/>
        <v>6.242348485450746</v>
      </c>
      <c r="I25" s="13">
        <f t="shared" si="8"/>
        <v>7.419041241612462</v>
      </c>
      <c r="J25" s="13">
        <f t="shared" si="8"/>
        <v>9.044415309997706</v>
      </c>
      <c r="K25" s="13">
        <f t="shared" si="8"/>
        <v>9.890038196487616</v>
      </c>
      <c r="L25" s="13">
        <f t="shared" si="8"/>
        <v>10.57543710159215</v>
      </c>
      <c r="M25" s="34">
        <f t="shared" si="8"/>
        <v>11.303552128447317</v>
      </c>
    </row>
    <row r="26" spans="1:13" ht="12.75">
      <c r="A26" s="18" t="s">
        <v>106</v>
      </c>
      <c r="B26" s="19"/>
      <c r="C26" s="19"/>
      <c r="D26" s="21">
        <f>D24-D25</f>
        <v>5.881343999999986</v>
      </c>
      <c r="E26" s="21">
        <f aca="true" t="shared" si="9" ref="E26:M26">E24-E25</f>
        <v>1.4224907520000074</v>
      </c>
      <c r="F26" s="21">
        <f t="shared" si="9"/>
        <v>5.8942872898559955</v>
      </c>
      <c r="G26" s="21">
        <f t="shared" si="9"/>
        <v>7.2501818951423935</v>
      </c>
      <c r="H26" s="21">
        <f t="shared" si="9"/>
        <v>9.363522728176118</v>
      </c>
      <c r="I26" s="21">
        <f t="shared" si="9"/>
        <v>11.128561862418692</v>
      </c>
      <c r="J26" s="21">
        <f t="shared" si="9"/>
        <v>13.566622964996558</v>
      </c>
      <c r="K26" s="21">
        <f t="shared" si="9"/>
        <v>14.83505729473142</v>
      </c>
      <c r="L26" s="21">
        <f t="shared" si="9"/>
        <v>15.863155652388226</v>
      </c>
      <c r="M26" s="23">
        <f t="shared" si="9"/>
        <v>16.955328192670976</v>
      </c>
    </row>
    <row r="27" spans="1:13" ht="12.75">
      <c r="A27" s="18" t="s">
        <v>25</v>
      </c>
      <c r="B27" s="19"/>
      <c r="C27" s="19"/>
      <c r="D27" s="7"/>
      <c r="E27" s="7"/>
      <c r="F27" s="7"/>
      <c r="G27" s="13">
        <f>'Balance Sheet'!G37-'Balance Sheet'!F37</f>
        <v>2.6400000000000006</v>
      </c>
      <c r="H27" s="13">
        <f>'Balance Sheet'!H37-'Balance Sheet'!G37</f>
        <v>2.956800000000001</v>
      </c>
      <c r="I27" s="13">
        <f>'Balance Sheet'!I37-'Balance Sheet'!H37</f>
        <v>3.3116160000000043</v>
      </c>
      <c r="J27" s="13">
        <f>'Balance Sheet'!J37-'Balance Sheet'!I37</f>
        <v>3.7090099200000033</v>
      </c>
      <c r="K27" s="13">
        <f>'Balance Sheet'!K37-'Balance Sheet'!J37</f>
        <v>4.154091110400003</v>
      </c>
      <c r="L27" s="13">
        <f>'Balance Sheet'!L37-'Balance Sheet'!K37</f>
        <v>4.652582043648003</v>
      </c>
      <c r="M27" s="34">
        <f>'Balance Sheet'!M37-'Balance Sheet'!L37</f>
        <v>5.210891888885769</v>
      </c>
    </row>
    <row r="28" spans="1:13" ht="12.75">
      <c r="A28" s="24" t="s">
        <v>26</v>
      </c>
      <c r="B28" s="7"/>
      <c r="C28" s="7"/>
      <c r="D28" s="27">
        <f>D26-D27</f>
        <v>5.881343999999986</v>
      </c>
      <c r="E28" s="27">
        <f aca="true" t="shared" si="10" ref="E28:M28">E26-E27</f>
        <v>1.4224907520000074</v>
      </c>
      <c r="F28" s="27">
        <f t="shared" si="10"/>
        <v>5.8942872898559955</v>
      </c>
      <c r="G28" s="27">
        <f t="shared" si="10"/>
        <v>4.610181895142393</v>
      </c>
      <c r="H28" s="27">
        <f t="shared" si="10"/>
        <v>6.406722728176117</v>
      </c>
      <c r="I28" s="27">
        <f t="shared" si="10"/>
        <v>7.816945862418688</v>
      </c>
      <c r="J28" s="27">
        <f t="shared" si="10"/>
        <v>9.857613044996555</v>
      </c>
      <c r="K28" s="27">
        <f t="shared" si="10"/>
        <v>10.680966184331417</v>
      </c>
      <c r="L28" s="27">
        <f t="shared" si="10"/>
        <v>11.210573608740223</v>
      </c>
      <c r="M28" s="25">
        <f t="shared" si="10"/>
        <v>11.744436303785207</v>
      </c>
    </row>
  </sheetData>
  <mergeCells count="9">
    <mergeCell ref="A1:M1"/>
    <mergeCell ref="A15:C15"/>
    <mergeCell ref="G2:M2"/>
    <mergeCell ref="A4:C4"/>
    <mergeCell ref="A13:C13"/>
    <mergeCell ref="A11:C11"/>
    <mergeCell ref="D2:F2"/>
    <mergeCell ref="A3:C3"/>
    <mergeCell ref="A7:C7"/>
  </mergeCells>
  <printOptions/>
  <pageMargins left="1" right="0.66" top="1" bottom="1" header="0.5" footer="0.5"/>
  <pageSetup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7"/>
  <sheetViews>
    <sheetView workbookViewId="0" topLeftCell="A1">
      <selection activeCell="P6" sqref="P6"/>
    </sheetView>
  </sheetViews>
  <sheetFormatPr defaultColWidth="9.140625" defaultRowHeight="12.75"/>
  <cols>
    <col min="1" max="1" width="33.28125" style="0" bestFit="1" customWidth="1"/>
    <col min="2" max="14" width="8.28125" style="0" customWidth="1"/>
  </cols>
  <sheetData>
    <row r="1" spans="1:13" ht="12.75">
      <c r="A1" s="82" t="s">
        <v>11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</row>
    <row r="2" spans="2:13" ht="12.75">
      <c r="B2" s="88" t="s">
        <v>29</v>
      </c>
      <c r="C2" s="91"/>
      <c r="D2" s="77"/>
      <c r="E2" s="111" t="s">
        <v>51</v>
      </c>
      <c r="F2" s="111" t="s">
        <v>52</v>
      </c>
      <c r="G2" s="88" t="s">
        <v>49</v>
      </c>
      <c r="H2" s="91"/>
      <c r="I2" s="91"/>
      <c r="J2" s="91"/>
      <c r="K2" s="91"/>
      <c r="L2" s="91"/>
      <c r="M2" s="77"/>
    </row>
    <row r="3" spans="2:13" ht="12.75">
      <c r="B3">
        <v>2001</v>
      </c>
      <c r="C3">
        <v>2002</v>
      </c>
      <c r="D3">
        <v>2003</v>
      </c>
      <c r="F3">
        <v>2003</v>
      </c>
      <c r="G3">
        <v>2004</v>
      </c>
      <c r="H3">
        <v>2005</v>
      </c>
      <c r="I3">
        <v>2006</v>
      </c>
      <c r="J3">
        <v>2007</v>
      </c>
      <c r="K3">
        <v>2008</v>
      </c>
      <c r="L3">
        <v>2009</v>
      </c>
      <c r="M3">
        <v>2010</v>
      </c>
    </row>
    <row r="4" spans="1:13" ht="12.75">
      <c r="A4" s="43" t="s">
        <v>48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50"/>
    </row>
    <row r="5" spans="1:13" ht="12.75">
      <c r="A5" s="41" t="s">
        <v>79</v>
      </c>
      <c r="B5" s="19">
        <v>0.02</v>
      </c>
      <c r="C5" s="19">
        <v>0.02</v>
      </c>
      <c r="D5" s="19">
        <v>0.02</v>
      </c>
      <c r="E5" s="14">
        <v>0</v>
      </c>
      <c r="F5" s="19">
        <v>0.02</v>
      </c>
      <c r="G5" s="19">
        <v>0.02</v>
      </c>
      <c r="H5" s="19">
        <v>0.02</v>
      </c>
      <c r="I5" s="19">
        <v>0.02</v>
      </c>
      <c r="J5" s="19">
        <v>0.02</v>
      </c>
      <c r="K5" s="19">
        <v>0.02</v>
      </c>
      <c r="L5" s="19">
        <v>0.02</v>
      </c>
      <c r="M5" s="20">
        <v>0.02</v>
      </c>
    </row>
    <row r="6" spans="1:13" ht="12.75">
      <c r="A6" s="41" t="s">
        <v>80</v>
      </c>
      <c r="B6" s="19">
        <v>0.161</v>
      </c>
      <c r="C6" s="19">
        <v>0.158</v>
      </c>
      <c r="D6" s="19">
        <v>0.167</v>
      </c>
      <c r="E6" s="14">
        <v>0</v>
      </c>
      <c r="F6" s="19">
        <v>0.167</v>
      </c>
      <c r="G6" s="19">
        <v>0.155</v>
      </c>
      <c r="H6" s="19">
        <v>0.155</v>
      </c>
      <c r="I6" s="19">
        <v>0.155</v>
      </c>
      <c r="J6" s="19">
        <v>0.155</v>
      </c>
      <c r="K6" s="19">
        <v>0.155</v>
      </c>
      <c r="L6" s="19">
        <v>0.155</v>
      </c>
      <c r="M6" s="20">
        <v>0.155</v>
      </c>
    </row>
    <row r="7" spans="1:13" ht="12.75">
      <c r="A7" s="41" t="s">
        <v>81</v>
      </c>
      <c r="B7" s="19">
        <v>0.054</v>
      </c>
      <c r="C7" s="19">
        <v>0.057</v>
      </c>
      <c r="D7" s="19">
        <v>0.063</v>
      </c>
      <c r="E7" s="14">
        <v>0</v>
      </c>
      <c r="F7" s="19">
        <v>0.063</v>
      </c>
      <c r="G7" s="19">
        <v>0.055</v>
      </c>
      <c r="H7" s="19">
        <v>0.055</v>
      </c>
      <c r="I7" s="19">
        <v>0.055</v>
      </c>
      <c r="J7" s="19">
        <v>0.055</v>
      </c>
      <c r="K7" s="19">
        <v>0.055</v>
      </c>
      <c r="L7" s="19">
        <v>0.055</v>
      </c>
      <c r="M7" s="20">
        <v>0.055</v>
      </c>
    </row>
    <row r="8" spans="1:13" ht="12.75">
      <c r="A8" s="41" t="s">
        <v>91</v>
      </c>
      <c r="B8" s="19">
        <v>0.473</v>
      </c>
      <c r="C8" s="19">
        <v>0.5</v>
      </c>
      <c r="D8" s="19">
        <v>0.52</v>
      </c>
      <c r="E8" s="14">
        <v>0</v>
      </c>
      <c r="F8" s="19">
        <v>0.52</v>
      </c>
      <c r="G8" s="19">
        <v>0.52</v>
      </c>
      <c r="H8" s="19">
        <v>0.52</v>
      </c>
      <c r="I8" s="19">
        <v>0.52</v>
      </c>
      <c r="J8" s="19">
        <v>0.52</v>
      </c>
      <c r="K8" s="19">
        <v>0.52</v>
      </c>
      <c r="L8" s="19">
        <v>0.52</v>
      </c>
      <c r="M8" s="20">
        <v>0.52</v>
      </c>
    </row>
    <row r="9" spans="1:13" ht="12.75">
      <c r="A9" s="41" t="s">
        <v>92</v>
      </c>
      <c r="B9" s="19">
        <v>0.7</v>
      </c>
      <c r="C9" s="19">
        <v>0.7</v>
      </c>
      <c r="D9" s="19">
        <v>0.7</v>
      </c>
      <c r="E9" s="14">
        <v>0</v>
      </c>
      <c r="F9" s="19">
        <v>0.7</v>
      </c>
      <c r="G9" s="19">
        <v>0.7</v>
      </c>
      <c r="H9" s="19">
        <v>0.7</v>
      </c>
      <c r="I9" s="19">
        <v>0.7</v>
      </c>
      <c r="J9" s="19">
        <v>0.7</v>
      </c>
      <c r="K9" s="19">
        <v>0.7</v>
      </c>
      <c r="L9" s="19">
        <v>0.7</v>
      </c>
      <c r="M9" s="20">
        <v>0.7</v>
      </c>
    </row>
    <row r="10" spans="1:13" ht="12.75">
      <c r="A10" s="41" t="s">
        <v>83</v>
      </c>
      <c r="B10" s="19">
        <v>0.08</v>
      </c>
      <c r="C10" s="19">
        <v>0.083</v>
      </c>
      <c r="D10" s="19">
        <v>0.084</v>
      </c>
      <c r="E10" s="14">
        <v>0</v>
      </c>
      <c r="F10" s="19">
        <v>0.084</v>
      </c>
      <c r="G10" s="19">
        <v>0.078</v>
      </c>
      <c r="H10" s="19">
        <v>0.078</v>
      </c>
      <c r="I10" s="19">
        <v>0.078</v>
      </c>
      <c r="J10" s="19">
        <v>0.078</v>
      </c>
      <c r="K10" s="19">
        <v>0.078</v>
      </c>
      <c r="L10" s="19">
        <v>0.078</v>
      </c>
      <c r="M10" s="20">
        <v>0.078</v>
      </c>
    </row>
    <row r="11" spans="1:13" ht="12.75">
      <c r="A11" s="68" t="s">
        <v>84</v>
      </c>
      <c r="B11" s="7">
        <v>0.074</v>
      </c>
      <c r="C11" s="7">
        <v>0.079</v>
      </c>
      <c r="D11" s="7">
        <v>0.076</v>
      </c>
      <c r="E11" s="13">
        <v>0</v>
      </c>
      <c r="F11" s="7">
        <v>0.076</v>
      </c>
      <c r="G11" s="7">
        <v>0.07</v>
      </c>
      <c r="H11" s="7">
        <v>0.07</v>
      </c>
      <c r="I11" s="7">
        <v>0.07</v>
      </c>
      <c r="J11" s="7">
        <v>0.07</v>
      </c>
      <c r="K11" s="7">
        <v>0.07</v>
      </c>
      <c r="L11" s="7">
        <v>0.07</v>
      </c>
      <c r="M11" s="28">
        <v>0.07</v>
      </c>
    </row>
    <row r="12" spans="1:5" ht="12.75">
      <c r="A12" s="2"/>
      <c r="E12" s="5"/>
    </row>
    <row r="13" ht="12.75">
      <c r="A13" s="3" t="s">
        <v>30</v>
      </c>
    </row>
    <row r="14" ht="12.75">
      <c r="A14" t="s">
        <v>31</v>
      </c>
    </row>
    <row r="15" spans="1:13" ht="12.75">
      <c r="A15" s="2" t="s">
        <v>61</v>
      </c>
      <c r="B15" s="12">
        <f>B5*'Income Statement'!D10</f>
        <v>3.552</v>
      </c>
      <c r="C15" s="12">
        <f>C5*'Income Statement'!E10</f>
        <v>3.6692159999999996</v>
      </c>
      <c r="D15" s="12">
        <f>D5*'Income Statement'!F10</f>
        <v>3.8086462079999994</v>
      </c>
      <c r="E15" s="12">
        <v>0</v>
      </c>
      <c r="F15" s="12">
        <v>3.8</v>
      </c>
      <c r="G15" s="12">
        <f>G5*'Income Statement'!H10</f>
        <v>4.0996267782912</v>
      </c>
      <c r="H15" s="12">
        <f>H5*'Income Statement'!I10</f>
        <v>4.284109983314304</v>
      </c>
      <c r="I15" s="12">
        <f>I5*'Income Statement'!J10</f>
        <v>4.476894932563447</v>
      </c>
      <c r="J15" s="12">
        <f>J5*'Income Statement'!K10</f>
        <v>4.678355204528802</v>
      </c>
      <c r="K15" s="12">
        <f>K5*'Income Statement'!L10</f>
        <v>4.888881188732598</v>
      </c>
      <c r="L15" s="12">
        <f>L5*'Income Statement'!M10</f>
        <v>5.108880842225564</v>
      </c>
      <c r="M15" s="12">
        <f>M5*'Income Statement'!M10</f>
        <v>5.108880842225564</v>
      </c>
    </row>
    <row r="16" spans="1:13" ht="12.75">
      <c r="A16" t="s">
        <v>32</v>
      </c>
      <c r="B16" s="5">
        <f>B6*'Income Statement'!D10</f>
        <v>28.5936</v>
      </c>
      <c r="C16" s="5">
        <f>C6*'Income Statement'!E10</f>
        <v>28.986806399999995</v>
      </c>
      <c r="D16" s="5">
        <f>D6*'Income Statement'!F10</f>
        <v>31.8021958368</v>
      </c>
      <c r="E16" s="5">
        <v>0</v>
      </c>
      <c r="F16" s="5">
        <f>F6*'Income Statement'!F10</f>
        <v>31.8021958368</v>
      </c>
      <c r="G16" s="5">
        <f>G6*'Income Statement'!G10</f>
        <v>30.550103395919994</v>
      </c>
      <c r="H16" s="5">
        <f>H6*'Income Statement'!H10</f>
        <v>31.7721075317568</v>
      </c>
      <c r="I16" s="5">
        <f>I6*'Income Statement'!I10</f>
        <v>33.20185237068585</v>
      </c>
      <c r="J16" s="5">
        <f>J6*'Income Statement'!J10</f>
        <v>34.69593572736672</v>
      </c>
      <c r="K16" s="5">
        <f>K6*'Income Statement'!K10</f>
        <v>36.257252835098214</v>
      </c>
      <c r="L16" s="5">
        <f>L6*'Income Statement'!L10</f>
        <v>37.888829212677635</v>
      </c>
      <c r="M16" s="5">
        <f>M6*'Income Statement'!M10</f>
        <v>39.59382652724812</v>
      </c>
    </row>
    <row r="17" spans="1:13" ht="12.75">
      <c r="A17" t="s">
        <v>33</v>
      </c>
      <c r="B17" s="13">
        <f>B7*'Income Statement'!D10</f>
        <v>9.590399999999999</v>
      </c>
      <c r="C17" s="13">
        <f>C7*'Income Statement'!E10</f>
        <v>10.4572656</v>
      </c>
      <c r="D17" s="13">
        <f>D7*'Income Statement'!F10</f>
        <v>11.997235555199998</v>
      </c>
      <c r="E17" s="14">
        <v>0</v>
      </c>
      <c r="F17" s="13">
        <f>F7*'Income Statement'!F10</f>
        <v>11.997235555199998</v>
      </c>
      <c r="G17" s="13">
        <f>G7*'Income Statement'!G10</f>
        <v>10.840359269519999</v>
      </c>
      <c r="H17" s="13">
        <f>H7*'Income Statement'!H10</f>
        <v>11.273973640300799</v>
      </c>
      <c r="I17" s="13">
        <f>I7*'Income Statement'!I10</f>
        <v>11.781302454114334</v>
      </c>
      <c r="J17" s="13">
        <f>J7*'Income Statement'!J10</f>
        <v>12.311461064549478</v>
      </c>
      <c r="K17" s="13">
        <f>K7*'Income Statement'!K10</f>
        <v>12.865476812454204</v>
      </c>
      <c r="L17" s="13">
        <f>L7*'Income Statement'!L10</f>
        <v>13.444423269014644</v>
      </c>
      <c r="M17" s="13">
        <f>M7*'Income Statement'!M10</f>
        <v>14.049422316120301</v>
      </c>
    </row>
    <row r="18" spans="1:13" ht="12.75">
      <c r="A18" s="2" t="s">
        <v>86</v>
      </c>
      <c r="B18" s="5">
        <f>SUM(B15:B17)</f>
        <v>41.736000000000004</v>
      </c>
      <c r="C18" s="5">
        <f>SUM(C15:C17)</f>
        <v>43.113288</v>
      </c>
      <c r="D18" s="5">
        <f>SUM(D15:D17)</f>
        <v>47.6080776</v>
      </c>
      <c r="E18" s="5">
        <v>0</v>
      </c>
      <c r="F18" s="5">
        <f>SUM(F15:F17)</f>
        <v>47.599431392</v>
      </c>
      <c r="G18" s="5">
        <f aca="true" t="shared" si="0" ref="G18:M18">SUM(G15:G17)</f>
        <v>45.49008944373119</v>
      </c>
      <c r="H18" s="5">
        <f t="shared" si="0"/>
        <v>47.33019115537191</v>
      </c>
      <c r="I18" s="5">
        <f t="shared" si="0"/>
        <v>49.46004975736363</v>
      </c>
      <c r="J18" s="5">
        <f t="shared" si="0"/>
        <v>51.68575199644499</v>
      </c>
      <c r="K18" s="5">
        <f t="shared" si="0"/>
        <v>54.011610836285016</v>
      </c>
      <c r="L18" s="5">
        <f t="shared" si="0"/>
        <v>56.442133323917844</v>
      </c>
      <c r="M18" s="5">
        <f t="shared" si="0"/>
        <v>58.752129685593985</v>
      </c>
    </row>
    <row r="19" spans="1:13" ht="12.75">
      <c r="A19" s="2" t="s">
        <v>211</v>
      </c>
      <c r="B19" s="5">
        <v>0</v>
      </c>
      <c r="C19" s="5"/>
      <c r="D19" s="5"/>
      <c r="E19" s="5"/>
      <c r="F19" s="5">
        <v>0</v>
      </c>
      <c r="G19" s="5">
        <f aca="true" t="shared" si="1" ref="G19:M19">IF(F32&gt;0,0,G30+G33+G34+G41-G18-G22-G23-G24)</f>
        <v>0</v>
      </c>
      <c r="H19" s="5">
        <f t="shared" si="1"/>
        <v>0</v>
      </c>
      <c r="I19" s="5">
        <f t="shared" si="1"/>
        <v>0</v>
      </c>
      <c r="J19" s="5">
        <f t="shared" si="1"/>
        <v>8.894687433119387</v>
      </c>
      <c r="K19" s="5">
        <f t="shared" si="1"/>
        <v>16.34047606632464</v>
      </c>
      <c r="L19" s="5">
        <f t="shared" si="1"/>
        <v>24.200028001761524</v>
      </c>
      <c r="M19" s="5">
        <f t="shared" si="1"/>
        <v>32.6749323012677</v>
      </c>
    </row>
    <row r="20" spans="1:13" ht="12.75">
      <c r="A20" t="s">
        <v>88</v>
      </c>
      <c r="B20" s="5">
        <f>B8*'Income Statement'!D10</f>
        <v>84.00479999999999</v>
      </c>
      <c r="C20" s="5">
        <f>C8*'Income Statement'!E10</f>
        <v>91.73039999999999</v>
      </c>
      <c r="D20" s="5">
        <f>D8*'Income Statement'!F10</f>
        <v>99.02480140799999</v>
      </c>
      <c r="E20" s="5">
        <v>0</v>
      </c>
      <c r="F20" s="5">
        <f>F8*'Income Statement'!F10</f>
        <v>99.02480140799999</v>
      </c>
      <c r="G20" s="5">
        <f>G8*'Income Statement'!G10</f>
        <v>102.49066945727999</v>
      </c>
      <c r="H20" s="5">
        <f>H8*'Income Statement'!H10</f>
        <v>106.5902962355712</v>
      </c>
      <c r="I20" s="5">
        <f>I8*'Income Statement'!I10</f>
        <v>111.38685956617189</v>
      </c>
      <c r="J20" s="5">
        <f>J8*'Income Statement'!J10</f>
        <v>116.39926824664963</v>
      </c>
      <c r="K20" s="5">
        <f>K8*'Income Statement'!K10</f>
        <v>121.63723531774885</v>
      </c>
      <c r="L20" s="5">
        <f>L8*'Income Statement'!L10</f>
        <v>127.11091090704754</v>
      </c>
      <c r="M20" s="5">
        <f>M8*'Income Statement'!M10</f>
        <v>132.83090189786466</v>
      </c>
    </row>
    <row r="21" spans="1:13" ht="12.75">
      <c r="A21" s="2" t="s">
        <v>89</v>
      </c>
      <c r="B21" s="13">
        <f>B9*B20</f>
        <v>58.80335999999999</v>
      </c>
      <c r="C21" s="13">
        <f>C9*C20</f>
        <v>64.21127999999999</v>
      </c>
      <c r="D21" s="13">
        <f>D9*D20</f>
        <v>69.31736098559999</v>
      </c>
      <c r="E21" s="14">
        <v>0</v>
      </c>
      <c r="F21" s="13">
        <f aca="true" t="shared" si="2" ref="F21:M21">F9*F20</f>
        <v>69.31736098559999</v>
      </c>
      <c r="G21" s="13">
        <f t="shared" si="2"/>
        <v>71.743468620096</v>
      </c>
      <c r="H21" s="13">
        <f t="shared" si="2"/>
        <v>74.61320736489984</v>
      </c>
      <c r="I21" s="13">
        <f t="shared" si="2"/>
        <v>77.97080169632032</v>
      </c>
      <c r="J21" s="13">
        <f t="shared" si="2"/>
        <v>81.47948777265474</v>
      </c>
      <c r="K21" s="13">
        <f t="shared" si="2"/>
        <v>85.14606472242419</v>
      </c>
      <c r="L21" s="13">
        <f t="shared" si="2"/>
        <v>88.97763763493327</v>
      </c>
      <c r="M21" s="13">
        <f t="shared" si="2"/>
        <v>92.98163132850526</v>
      </c>
    </row>
    <row r="22" spans="1:13" ht="12.75">
      <c r="A22" s="2" t="s">
        <v>90</v>
      </c>
      <c r="B22" s="5">
        <f>B20-B21</f>
        <v>25.201439999999998</v>
      </c>
      <c r="C22" s="5">
        <f>C20-C21</f>
        <v>27.51912</v>
      </c>
      <c r="D22" s="5">
        <f>D20-D21</f>
        <v>29.707440422399998</v>
      </c>
      <c r="E22" s="5">
        <v>0</v>
      </c>
      <c r="F22" s="5">
        <f>F20-F21</f>
        <v>29.707440422399998</v>
      </c>
      <c r="G22" s="5">
        <f aca="true" t="shared" si="3" ref="G22:M22">G20-G21</f>
        <v>30.747200837183996</v>
      </c>
      <c r="H22" s="5">
        <f t="shared" si="3"/>
        <v>31.977088870671366</v>
      </c>
      <c r="I22" s="5">
        <f t="shared" si="3"/>
        <v>33.41605786985157</v>
      </c>
      <c r="J22" s="5">
        <f t="shared" si="3"/>
        <v>34.91978047399489</v>
      </c>
      <c r="K22" s="5">
        <f t="shared" si="3"/>
        <v>36.49117059532466</v>
      </c>
      <c r="L22" s="5">
        <f t="shared" si="3"/>
        <v>38.133273272114266</v>
      </c>
      <c r="M22" s="5">
        <f t="shared" si="3"/>
        <v>39.849270569359405</v>
      </c>
    </row>
    <row r="23" spans="1:13" ht="12.75">
      <c r="A23" t="s">
        <v>34</v>
      </c>
      <c r="B23" s="14">
        <v>0</v>
      </c>
      <c r="C23" s="14">
        <v>0</v>
      </c>
      <c r="D23" s="14">
        <v>0</v>
      </c>
      <c r="E23" s="14">
        <v>2</v>
      </c>
      <c r="F23" s="14">
        <v>2</v>
      </c>
      <c r="G23" s="14">
        <f>2*0.75</f>
        <v>1.5</v>
      </c>
      <c r="H23" s="14">
        <f>2*0.5</f>
        <v>1</v>
      </c>
      <c r="I23" s="14">
        <f>2*0.25</f>
        <v>0.5</v>
      </c>
      <c r="J23" s="14">
        <v>0</v>
      </c>
      <c r="K23" s="14">
        <v>0</v>
      </c>
      <c r="L23" s="14">
        <v>0</v>
      </c>
      <c r="M23" s="14">
        <v>0</v>
      </c>
    </row>
    <row r="24" spans="1:13" ht="12.75">
      <c r="A24" t="s">
        <v>219</v>
      </c>
      <c r="B24" s="14"/>
      <c r="C24" s="14"/>
      <c r="D24" s="14"/>
      <c r="E24" s="14"/>
      <c r="F24" s="14">
        <f>SUM(E28:E40)-F23</f>
        <v>0</v>
      </c>
      <c r="G24" s="14">
        <f>F24</f>
        <v>0</v>
      </c>
      <c r="H24" s="14">
        <f aca="true" t="shared" si="4" ref="H24:M24">G24</f>
        <v>0</v>
      </c>
      <c r="I24" s="14">
        <f t="shared" si="4"/>
        <v>0</v>
      </c>
      <c r="J24" s="14">
        <f t="shared" si="4"/>
        <v>0</v>
      </c>
      <c r="K24" s="14">
        <f t="shared" si="4"/>
        <v>0</v>
      </c>
      <c r="L24" s="14">
        <f t="shared" si="4"/>
        <v>0</v>
      </c>
      <c r="M24" s="14">
        <f t="shared" si="4"/>
        <v>0</v>
      </c>
    </row>
    <row r="25" spans="1:13" ht="13.5" thickBot="1">
      <c r="A25" s="3" t="s">
        <v>35</v>
      </c>
      <c r="B25" s="66">
        <f>B18+B19+B22+B23</f>
        <v>66.93744000000001</v>
      </c>
      <c r="C25" s="66">
        <f>C18+C22+C23</f>
        <v>70.632408</v>
      </c>
      <c r="D25" s="66">
        <f>D18+D22+D23</f>
        <v>77.3155180224</v>
      </c>
      <c r="E25" s="66">
        <v>2</v>
      </c>
      <c r="F25" s="66">
        <f>F18+F19+F22+F23+F24</f>
        <v>79.3068718144</v>
      </c>
      <c r="G25" s="66">
        <f aca="true" t="shared" si="5" ref="G25:M25">G18+G19+G22+G23+G24</f>
        <v>77.73729028091519</v>
      </c>
      <c r="H25" s="66">
        <f t="shared" si="5"/>
        <v>80.30728002604327</v>
      </c>
      <c r="I25" s="66">
        <f t="shared" si="5"/>
        <v>83.37610762721519</v>
      </c>
      <c r="J25" s="66">
        <f t="shared" si="5"/>
        <v>95.50021990355927</v>
      </c>
      <c r="K25" s="66">
        <f t="shared" si="5"/>
        <v>106.84325749793432</v>
      </c>
      <c r="L25" s="66">
        <f t="shared" si="5"/>
        <v>118.77543459779363</v>
      </c>
      <c r="M25" s="66">
        <f t="shared" si="5"/>
        <v>131.2763325562211</v>
      </c>
    </row>
    <row r="26" spans="1:13" ht="13.5" thickTop="1">
      <c r="A26" s="45" t="s">
        <v>82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1:13" ht="12.75">
      <c r="A27" t="s">
        <v>36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</row>
    <row r="28" spans="1:13" ht="12.75">
      <c r="A28" t="s">
        <v>37</v>
      </c>
      <c r="B28" s="5">
        <f>B10*'Income Statement'!D10</f>
        <v>14.208</v>
      </c>
      <c r="C28" s="5">
        <f>C10*'Income Statement'!E10</f>
        <v>15.227246399999999</v>
      </c>
      <c r="D28" s="5">
        <f>D10*'Income Statement'!F10</f>
        <v>15.996314073599999</v>
      </c>
      <c r="E28" s="5">
        <v>0</v>
      </c>
      <c r="F28" s="5">
        <f>F10*'Income Statement'!F10</f>
        <v>15.996314073599999</v>
      </c>
      <c r="G28" s="5">
        <f>G10*'Income Statement'!G10</f>
        <v>15.373600418591998</v>
      </c>
      <c r="H28" s="5">
        <f>H10*'Income Statement'!H10</f>
        <v>15.98854443533568</v>
      </c>
      <c r="I28" s="5">
        <f>I10*'Income Statement'!I10</f>
        <v>16.708028934925782</v>
      </c>
      <c r="J28" s="5">
        <f>J10*'Income Statement'!J10</f>
        <v>17.459890236997442</v>
      </c>
      <c r="K28" s="5">
        <f>K10*'Income Statement'!K10</f>
        <v>18.245585297662327</v>
      </c>
      <c r="L28" s="5">
        <f>L10*'Income Statement'!L10</f>
        <v>19.06663663605713</v>
      </c>
      <c r="M28" s="5">
        <f>M10*'Income Statement'!M10</f>
        <v>19.9246352846797</v>
      </c>
    </row>
    <row r="29" spans="1:13" ht="12.75">
      <c r="A29" t="s">
        <v>38</v>
      </c>
      <c r="B29" s="13">
        <f>B11*'Income Statement'!D10</f>
        <v>13.142399999999999</v>
      </c>
      <c r="C29" s="13">
        <f>C11*'Income Statement'!E10</f>
        <v>14.493403199999998</v>
      </c>
      <c r="D29" s="13">
        <f>D11*'Income Statement'!F10</f>
        <v>14.472855590399998</v>
      </c>
      <c r="E29" s="14">
        <v>0</v>
      </c>
      <c r="F29" s="13">
        <f>F11*'Income Statement'!F10</f>
        <v>14.472855590399998</v>
      </c>
      <c r="G29" s="13">
        <f>G11*'Income Statement'!G10</f>
        <v>13.79682088848</v>
      </c>
      <c r="H29" s="13">
        <f>H11*'Income Statement'!H10</f>
        <v>14.348693724019201</v>
      </c>
      <c r="I29" s="13">
        <f>I11*'Income Statement'!I10</f>
        <v>14.994384941600064</v>
      </c>
      <c r="J29" s="13">
        <f>J11*'Income Statement'!J10</f>
        <v>15.669132263972065</v>
      </c>
      <c r="K29" s="13">
        <f>K11*'Income Statement'!K10</f>
        <v>16.374243215850807</v>
      </c>
      <c r="L29" s="13">
        <f>L11*'Income Statement'!L10</f>
        <v>17.111084160564094</v>
      </c>
      <c r="M29" s="13">
        <f>M11*'Income Statement'!M10</f>
        <v>17.881082947789476</v>
      </c>
    </row>
    <row r="30" spans="1:13" ht="12.75">
      <c r="A30" s="2" t="s">
        <v>87</v>
      </c>
      <c r="B30" s="5">
        <f>B28+B29</f>
        <v>27.3504</v>
      </c>
      <c r="C30" s="5">
        <f>C28+C29</f>
        <v>29.720649599999994</v>
      </c>
      <c r="D30" s="5">
        <f>D28+D29</f>
        <v>30.469169664</v>
      </c>
      <c r="E30" s="5">
        <v>0</v>
      </c>
      <c r="F30" s="5">
        <f>F28+F29</f>
        <v>30.469169664</v>
      </c>
      <c r="G30" s="5">
        <f aca="true" t="shared" si="6" ref="G30:M30">G28+G29</f>
        <v>29.170421307071997</v>
      </c>
      <c r="H30" s="5">
        <f t="shared" si="6"/>
        <v>30.337238159354882</v>
      </c>
      <c r="I30" s="5">
        <f t="shared" si="6"/>
        <v>31.702413876525846</v>
      </c>
      <c r="J30" s="5">
        <f t="shared" si="6"/>
        <v>33.129022500969505</v>
      </c>
      <c r="K30" s="5">
        <f t="shared" si="6"/>
        <v>34.619828513513134</v>
      </c>
      <c r="L30" s="5">
        <f t="shared" si="6"/>
        <v>36.17772079662122</v>
      </c>
      <c r="M30" s="5">
        <f t="shared" si="6"/>
        <v>37.805718232469175</v>
      </c>
    </row>
    <row r="31" spans="1:13" ht="12.75">
      <c r="A31" s="2" t="s">
        <v>85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</row>
    <row r="32" spans="1:13" ht="12.75">
      <c r="A32" t="s">
        <v>39</v>
      </c>
      <c r="B32" s="5"/>
      <c r="C32" s="5"/>
      <c r="D32" s="5"/>
      <c r="E32" s="5">
        <v>12</v>
      </c>
      <c r="F32" s="5">
        <v>12</v>
      </c>
      <c r="G32" s="5">
        <f aca="true" t="shared" si="7" ref="G32:M32">IF(G18+G22+G23+G24-G30-G33-G34-G41&gt;0,G18+G22+G23+G24-G30-G33-G34-G41,0)</f>
        <v>7.8899090368447915</v>
      </c>
      <c r="H32" s="5">
        <f t="shared" si="7"/>
        <v>3.661259201513875</v>
      </c>
      <c r="I32" s="5">
        <f t="shared" si="7"/>
        <v>0</v>
      </c>
      <c r="J32" s="5">
        <f t="shared" si="7"/>
        <v>0</v>
      </c>
      <c r="K32" s="5">
        <f t="shared" si="7"/>
        <v>0</v>
      </c>
      <c r="L32" s="5">
        <f t="shared" si="7"/>
        <v>0</v>
      </c>
      <c r="M32" s="5">
        <f t="shared" si="7"/>
        <v>0</v>
      </c>
    </row>
    <row r="33" spans="1:13" ht="12.75">
      <c r="A33" t="s">
        <v>40</v>
      </c>
      <c r="B33" s="5"/>
      <c r="C33" s="5"/>
      <c r="D33" s="5"/>
      <c r="E33" s="5">
        <f>Financing!C31</f>
        <v>20</v>
      </c>
      <c r="F33" s="5">
        <v>20</v>
      </c>
      <c r="G33" s="5">
        <f>Financing!D31</f>
        <v>17.83</v>
      </c>
      <c r="H33" s="5">
        <f>Financing!E31</f>
        <v>15.464699999999997</v>
      </c>
      <c r="I33" s="5">
        <f>Financing!F31</f>
        <v>12.886522999999997</v>
      </c>
      <c r="J33" s="5">
        <f>Financing!G31</f>
        <v>10.076310069999996</v>
      </c>
      <c r="K33" s="5">
        <f>Financing!H31</f>
        <v>7.013177976299996</v>
      </c>
      <c r="L33" s="5">
        <f>Financing!I31</f>
        <v>3.6743639941669954</v>
      </c>
      <c r="M33" s="5">
        <f>Financing!J31</f>
        <v>0</v>
      </c>
    </row>
    <row r="34" spans="1:13" ht="12.75">
      <c r="A34" t="s">
        <v>41</v>
      </c>
      <c r="B34" s="13"/>
      <c r="C34" s="13"/>
      <c r="D34" s="13"/>
      <c r="E34" s="14">
        <f>Financing!C32</f>
        <v>15</v>
      </c>
      <c r="F34" s="13">
        <f>Financing!C32</f>
        <v>15</v>
      </c>
      <c r="G34" s="13">
        <f>Financing!D32</f>
        <v>13.78</v>
      </c>
      <c r="H34" s="13">
        <f>Financing!E32</f>
        <v>12.413599999999999</v>
      </c>
      <c r="I34" s="13">
        <f>Financing!F32</f>
        <v>10.883232</v>
      </c>
      <c r="J34" s="13">
        <f>Financing!G32</f>
        <v>9.16921984</v>
      </c>
      <c r="K34" s="13">
        <f>Financing!H32</f>
        <v>7.2495262208</v>
      </c>
      <c r="L34" s="13">
        <f>Financing!I32</f>
        <v>5.099469367296</v>
      </c>
      <c r="M34" s="13">
        <f>Financing!J32</f>
        <v>2.6914056913715196</v>
      </c>
    </row>
    <row r="35" spans="1:13" ht="12.75">
      <c r="A35" s="2" t="s">
        <v>94</v>
      </c>
      <c r="B35" s="5">
        <f>SUM(B32:B34)</f>
        <v>0</v>
      </c>
      <c r="C35" s="5">
        <f>SUM(C32:C34)</f>
        <v>0</v>
      </c>
      <c r="D35" s="5">
        <f>SUM(D32:D34)</f>
        <v>0</v>
      </c>
      <c r="E35" s="5"/>
      <c r="F35" s="5">
        <f>SUM(F32:F34)</f>
        <v>47</v>
      </c>
      <c r="G35" s="5">
        <f aca="true" t="shared" si="8" ref="G35:M35">SUM(G32:G34)</f>
        <v>39.49990903684479</v>
      </c>
      <c r="H35" s="5">
        <f t="shared" si="8"/>
        <v>31.53955920151387</v>
      </c>
      <c r="I35" s="5">
        <f t="shared" si="8"/>
        <v>23.769754999999996</v>
      </c>
      <c r="J35" s="5">
        <f t="shared" si="8"/>
        <v>19.245529909999995</v>
      </c>
      <c r="K35" s="5">
        <f t="shared" si="8"/>
        <v>14.262704197099996</v>
      </c>
      <c r="L35" s="5">
        <f t="shared" si="8"/>
        <v>8.773833361462994</v>
      </c>
      <c r="M35" s="5">
        <f t="shared" si="8"/>
        <v>2.6914056913715196</v>
      </c>
    </row>
    <row r="36" spans="1:13" ht="12.75">
      <c r="A36" t="s">
        <v>42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</row>
    <row r="37" spans="1:13" ht="12.75">
      <c r="A37" t="s">
        <v>43</v>
      </c>
      <c r="B37" s="5"/>
      <c r="C37" s="5"/>
      <c r="D37" s="5"/>
      <c r="E37" s="5">
        <v>22</v>
      </c>
      <c r="F37" s="5">
        <v>22</v>
      </c>
      <c r="G37" s="5">
        <f>F37*1.12</f>
        <v>24.64</v>
      </c>
      <c r="H37" s="5">
        <f aca="true" t="shared" si="9" ref="H37:M37">G37*1.12</f>
        <v>27.5968</v>
      </c>
      <c r="I37" s="5">
        <f t="shared" si="9"/>
        <v>30.908416000000006</v>
      </c>
      <c r="J37" s="5">
        <f t="shared" si="9"/>
        <v>34.61742592000001</v>
      </c>
      <c r="K37" s="5">
        <f t="shared" si="9"/>
        <v>38.77151703040001</v>
      </c>
      <c r="L37" s="5">
        <f t="shared" si="9"/>
        <v>43.424099074048016</v>
      </c>
      <c r="M37" s="5">
        <f t="shared" si="9"/>
        <v>48.634990962933784</v>
      </c>
    </row>
    <row r="38" spans="1:13" ht="12.75">
      <c r="A38" t="s">
        <v>44</v>
      </c>
      <c r="B38" s="5"/>
      <c r="C38" s="5"/>
      <c r="D38" s="5"/>
      <c r="E38" s="5">
        <v>3</v>
      </c>
      <c r="F38" s="5">
        <v>3</v>
      </c>
      <c r="G38" s="5">
        <v>3</v>
      </c>
      <c r="H38" s="5">
        <v>3</v>
      </c>
      <c r="I38" s="5">
        <v>3</v>
      </c>
      <c r="J38" s="5">
        <v>3</v>
      </c>
      <c r="K38" s="5">
        <v>3</v>
      </c>
      <c r="L38" s="5">
        <v>3</v>
      </c>
      <c r="M38" s="5">
        <v>3</v>
      </c>
    </row>
    <row r="39" spans="1:13" ht="12.75">
      <c r="A39" t="s">
        <v>45</v>
      </c>
      <c r="B39" s="5"/>
      <c r="C39" s="5"/>
      <c r="D39" s="5"/>
      <c r="E39" s="47">
        <v>-70</v>
      </c>
      <c r="F39" s="47">
        <v>-70</v>
      </c>
      <c r="G39" s="47">
        <v>-70</v>
      </c>
      <c r="H39" s="47">
        <v>-70</v>
      </c>
      <c r="I39" s="47">
        <v>-70</v>
      </c>
      <c r="J39" s="47">
        <v>-70</v>
      </c>
      <c r="K39" s="47">
        <v>-70</v>
      </c>
      <c r="L39" s="47">
        <v>-70</v>
      </c>
      <c r="M39" s="47">
        <v>-70</v>
      </c>
    </row>
    <row r="40" spans="1:13" ht="12.75">
      <c r="A40" t="s">
        <v>46</v>
      </c>
      <c r="B40" s="13">
        <v>39.5</v>
      </c>
      <c r="C40" s="13">
        <f>B40+'Income Statement'!E28</f>
        <v>40.92249075200001</v>
      </c>
      <c r="D40" s="13">
        <f>C40+'Income Statement'!F28</f>
        <v>46.816778041856004</v>
      </c>
      <c r="E40" s="5">
        <v>0</v>
      </c>
      <c r="F40" s="13">
        <f>C40+'Income Statement'!F28</f>
        <v>46.816778041856004</v>
      </c>
      <c r="G40" s="13">
        <f>F40+'Income Statement'!G28</f>
        <v>51.4269599369984</v>
      </c>
      <c r="H40" s="13">
        <f>G40+'Income Statement'!H28</f>
        <v>57.83368266517452</v>
      </c>
      <c r="I40" s="13">
        <f>H40+'Income Statement'!I28</f>
        <v>65.65062852759321</v>
      </c>
      <c r="J40" s="13">
        <f>I40+'Income Statement'!J28</f>
        <v>75.50824157258977</v>
      </c>
      <c r="K40" s="13">
        <f>J40+'Income Statement'!K28</f>
        <v>86.18920775692118</v>
      </c>
      <c r="L40" s="13">
        <f>K40+'Income Statement'!L28</f>
        <v>97.3997813656614</v>
      </c>
      <c r="M40" s="13">
        <f>L40+'Income Statement'!M28</f>
        <v>109.1442176694466</v>
      </c>
    </row>
    <row r="41" spans="1:13" ht="12.75">
      <c r="A41" s="2" t="s">
        <v>95</v>
      </c>
      <c r="B41" s="67">
        <v>39.5</v>
      </c>
      <c r="C41" s="67">
        <f>SUM(C37:C40)</f>
        <v>40.92249075200001</v>
      </c>
      <c r="D41" s="67">
        <f>SUM(D37:D40)</f>
        <v>46.816778041856004</v>
      </c>
      <c r="E41" s="5"/>
      <c r="F41" s="67">
        <f aca="true" t="shared" si="10" ref="F41:M41">SUM(F37:F40)</f>
        <v>1.8167780418560042</v>
      </c>
      <c r="G41" s="67">
        <f t="shared" si="10"/>
        <v>9.066959936998401</v>
      </c>
      <c r="H41" s="67">
        <f t="shared" si="10"/>
        <v>18.430482665174523</v>
      </c>
      <c r="I41" s="67">
        <f t="shared" si="10"/>
        <v>29.559044527593215</v>
      </c>
      <c r="J41" s="67">
        <f t="shared" si="10"/>
        <v>43.12566749258978</v>
      </c>
      <c r="K41" s="67">
        <f t="shared" si="10"/>
        <v>57.96072478732119</v>
      </c>
      <c r="L41" s="67">
        <f t="shared" si="10"/>
        <v>73.82388043970941</v>
      </c>
      <c r="M41" s="67">
        <f t="shared" si="10"/>
        <v>90.77920863238039</v>
      </c>
    </row>
    <row r="42" spans="1:13" ht="13.5" thickBot="1">
      <c r="A42" s="2" t="s">
        <v>273</v>
      </c>
      <c r="B42" s="66">
        <f>B30+B35+B41</f>
        <v>66.85040000000001</v>
      </c>
      <c r="C42" s="66">
        <f>C30+C35+C41</f>
        <v>70.643140352</v>
      </c>
      <c r="D42" s="66">
        <f>D30+D35+D41</f>
        <v>77.285947705856</v>
      </c>
      <c r="E42" s="66">
        <f>(E32+E33+E34+E37+E38+E39)</f>
        <v>2</v>
      </c>
      <c r="F42" s="66">
        <f aca="true" t="shared" si="11" ref="F42:M42">F30+F35+F41</f>
        <v>79.28594770585599</v>
      </c>
      <c r="G42" s="66">
        <f t="shared" si="11"/>
        <v>77.73729028091519</v>
      </c>
      <c r="H42" s="66">
        <f t="shared" si="11"/>
        <v>80.30728002604327</v>
      </c>
      <c r="I42" s="66">
        <f t="shared" si="11"/>
        <v>85.03121340411906</v>
      </c>
      <c r="J42" s="66">
        <f t="shared" si="11"/>
        <v>95.50021990355927</v>
      </c>
      <c r="K42" s="66">
        <f t="shared" si="11"/>
        <v>106.84325749793433</v>
      </c>
      <c r="L42" s="66">
        <f t="shared" si="11"/>
        <v>118.77543459779363</v>
      </c>
      <c r="M42" s="66">
        <f t="shared" si="11"/>
        <v>131.2763325562211</v>
      </c>
    </row>
    <row r="43" spans="1:13" ht="13.5" thickTop="1">
      <c r="A43" s="2" t="s">
        <v>108</v>
      </c>
      <c r="B43" s="14"/>
      <c r="C43" s="14"/>
      <c r="D43" s="14"/>
      <c r="E43" s="5"/>
      <c r="F43" s="14"/>
      <c r="G43" s="14"/>
      <c r="H43" s="14"/>
      <c r="I43" s="14"/>
      <c r="J43" s="14"/>
      <c r="K43" s="14"/>
      <c r="L43" s="14"/>
      <c r="M43" s="14"/>
    </row>
    <row r="44" spans="1:13" ht="12.75">
      <c r="A44" s="2" t="s">
        <v>218</v>
      </c>
      <c r="B44" s="47"/>
      <c r="C44" s="47">
        <f>((B16+B17)-B30)-((C16+C17)-C30)</f>
        <v>1.1101776</v>
      </c>
      <c r="D44" s="47">
        <f>((C16+C17)-C30)-((D16+D17)-D30)</f>
        <v>-3.6068393279999995</v>
      </c>
      <c r="E44" s="47"/>
      <c r="F44" s="47">
        <f aca="true" t="shared" si="12" ref="F44:M44">((E16+E17)-E30)-((F16+F17)-F30)</f>
        <v>-13.330261727999996</v>
      </c>
      <c r="G44" s="47">
        <f t="shared" si="12"/>
        <v>1.1102203696320032</v>
      </c>
      <c r="H44" s="47">
        <f t="shared" si="12"/>
        <v>-0.488801654334722</v>
      </c>
      <c r="I44" s="47">
        <f t="shared" si="12"/>
        <v>-0.57189793557162</v>
      </c>
      <c r="J44" s="47">
        <f t="shared" si="12"/>
        <v>-0.5976333426723528</v>
      </c>
      <c r="K44" s="47">
        <f t="shared" si="12"/>
        <v>-0.6245268430925961</v>
      </c>
      <c r="L44" s="47">
        <f t="shared" si="12"/>
        <v>-0.6526305510317698</v>
      </c>
      <c r="M44" s="47">
        <f t="shared" si="12"/>
        <v>-0.6819989258281893</v>
      </c>
    </row>
    <row r="45" spans="1:13" ht="14.25">
      <c r="A45" s="2" t="s">
        <v>116</v>
      </c>
      <c r="B45" s="12">
        <f>B15+B19</f>
        <v>3.552</v>
      </c>
      <c r="C45" s="12">
        <f>C15+C19</f>
        <v>3.6692159999999996</v>
      </c>
      <c r="D45" s="12">
        <f>D15+D19</f>
        <v>3.8086462079999994</v>
      </c>
      <c r="F45" s="12">
        <f>F15+F19</f>
        <v>3.8</v>
      </c>
      <c r="G45" s="12">
        <f aca="true" t="shared" si="13" ref="G45:M45">G15+G19</f>
        <v>4.0996267782912</v>
      </c>
      <c r="H45" s="12">
        <f t="shared" si="13"/>
        <v>4.284109983314304</v>
      </c>
      <c r="I45" s="12">
        <f t="shared" si="13"/>
        <v>4.476894932563447</v>
      </c>
      <c r="J45" s="12">
        <f t="shared" si="13"/>
        <v>13.57304263764819</v>
      </c>
      <c r="K45" s="12">
        <f t="shared" si="13"/>
        <v>21.229357255057238</v>
      </c>
      <c r="L45" s="12">
        <f t="shared" si="13"/>
        <v>29.308908843987087</v>
      </c>
      <c r="M45" s="12">
        <f t="shared" si="13"/>
        <v>37.78381314349327</v>
      </c>
    </row>
    <row r="46" spans="1:13" ht="12.75">
      <c r="A46" s="2"/>
      <c r="B46" s="12"/>
      <c r="C46" s="12"/>
      <c r="D46" s="12"/>
      <c r="F46" s="12"/>
      <c r="G46" s="12"/>
      <c r="H46" s="12"/>
      <c r="I46" s="12"/>
      <c r="J46" s="12"/>
      <c r="K46" s="12"/>
      <c r="L46" s="12"/>
      <c r="M46" s="12"/>
    </row>
    <row r="47" ht="14.25">
      <c r="A47" s="15" t="s">
        <v>109</v>
      </c>
    </row>
  </sheetData>
  <mergeCells count="3">
    <mergeCell ref="G2:M2"/>
    <mergeCell ref="B2:D2"/>
    <mergeCell ref="A1:M1"/>
  </mergeCells>
  <printOptions/>
  <pageMargins left="0.28" right="0" top="0.64" bottom="0.25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5"/>
  <sheetViews>
    <sheetView workbookViewId="0" topLeftCell="A1">
      <selection activeCell="S14" sqref="S14"/>
    </sheetView>
  </sheetViews>
  <sheetFormatPr defaultColWidth="9.140625" defaultRowHeight="12.75"/>
  <cols>
    <col min="3" max="3" width="35.140625" style="0" customWidth="1"/>
    <col min="4" max="13" width="7.421875" style="0" customWidth="1"/>
  </cols>
  <sheetData>
    <row r="1" spans="3:10" ht="12.75">
      <c r="C1" s="86" t="s">
        <v>200</v>
      </c>
      <c r="D1" s="81"/>
      <c r="E1" s="81"/>
      <c r="F1" s="81"/>
      <c r="G1" s="81"/>
      <c r="H1" s="81"/>
      <c r="I1" s="81"/>
      <c r="J1" s="81"/>
    </row>
    <row r="2" spans="1:13" ht="12.75">
      <c r="A2" s="2"/>
      <c r="B2" s="2"/>
      <c r="C2" s="2"/>
      <c r="D2" s="88" t="s">
        <v>47</v>
      </c>
      <c r="E2" s="91"/>
      <c r="F2" s="77"/>
      <c r="G2" s="78" t="s">
        <v>53</v>
      </c>
      <c r="H2" s="79"/>
      <c r="I2" s="79"/>
      <c r="J2" s="79"/>
      <c r="K2" s="79"/>
      <c r="L2" s="79"/>
      <c r="M2" s="80"/>
    </row>
    <row r="3" spans="1:13" ht="12.75">
      <c r="A3" s="83"/>
      <c r="B3" s="83"/>
      <c r="C3" s="83"/>
      <c r="D3" s="49">
        <v>2001</v>
      </c>
      <c r="E3" s="49">
        <v>2002</v>
      </c>
      <c r="F3" s="49">
        <v>2003</v>
      </c>
      <c r="G3" s="49">
        <v>2004</v>
      </c>
      <c r="H3" s="49">
        <v>2005</v>
      </c>
      <c r="I3" s="49">
        <v>2006</v>
      </c>
      <c r="J3" s="49">
        <v>2007</v>
      </c>
      <c r="K3" s="49">
        <v>2008</v>
      </c>
      <c r="L3" s="49">
        <v>2009</v>
      </c>
      <c r="M3" s="49">
        <v>2010</v>
      </c>
    </row>
    <row r="4" spans="1:13" ht="12.75">
      <c r="A4" s="43"/>
      <c r="B4" s="44"/>
      <c r="C4" s="44"/>
      <c r="D4" s="49"/>
      <c r="E4" s="76" t="s">
        <v>205</v>
      </c>
      <c r="F4" s="76"/>
      <c r="G4" s="76"/>
      <c r="H4" s="76"/>
      <c r="I4" s="76"/>
      <c r="J4" s="49"/>
      <c r="K4" s="49"/>
      <c r="L4" s="49"/>
      <c r="M4" s="50"/>
    </row>
    <row r="5" spans="1:13" ht="12.75">
      <c r="A5" s="84" t="s">
        <v>207</v>
      </c>
      <c r="B5" s="85"/>
      <c r="C5" s="85"/>
      <c r="D5" s="19"/>
      <c r="E5" s="19"/>
      <c r="F5" s="19"/>
      <c r="G5" s="19"/>
      <c r="H5" s="19"/>
      <c r="I5" s="19"/>
      <c r="J5" s="19"/>
      <c r="K5" s="19"/>
      <c r="L5" s="19"/>
      <c r="M5" s="20"/>
    </row>
    <row r="6" spans="1:13" ht="12.75">
      <c r="A6" s="84" t="s">
        <v>201</v>
      </c>
      <c r="B6" s="85"/>
      <c r="C6" s="85"/>
      <c r="D6" s="48">
        <f>'Income Statement'!D28</f>
        <v>5.881343999999986</v>
      </c>
      <c r="E6" s="48">
        <f>'Income Statement'!E28</f>
        <v>1.4224907520000074</v>
      </c>
      <c r="F6" s="48">
        <f>'Income Statement'!F28</f>
        <v>5.8942872898559955</v>
      </c>
      <c r="G6" s="48">
        <f>'Income Statement'!G28</f>
        <v>4.610181895142393</v>
      </c>
      <c r="H6" s="48">
        <f>'Income Statement'!H28</f>
        <v>6.406722728176117</v>
      </c>
      <c r="I6" s="48">
        <f>'Income Statement'!I28</f>
        <v>7.816945862418688</v>
      </c>
      <c r="J6" s="48">
        <f>'Income Statement'!J28</f>
        <v>9.857613044996555</v>
      </c>
      <c r="K6" s="48">
        <f>'Income Statement'!K28</f>
        <v>10.680966184331417</v>
      </c>
      <c r="L6" s="48">
        <f>'Income Statement'!L28</f>
        <v>11.210573608740223</v>
      </c>
      <c r="M6" s="51">
        <f>'Income Statement'!M28</f>
        <v>11.744436303785207</v>
      </c>
    </row>
    <row r="7" spans="1:13" ht="12.75">
      <c r="A7" s="84" t="s">
        <v>268</v>
      </c>
      <c r="B7" s="85"/>
      <c r="C7" s="85"/>
      <c r="D7" s="19"/>
      <c r="E7" s="19"/>
      <c r="F7" s="19"/>
      <c r="G7" s="19"/>
      <c r="H7" s="19"/>
      <c r="I7" s="19"/>
      <c r="J7" s="19"/>
      <c r="K7" s="19"/>
      <c r="L7" s="19"/>
      <c r="M7" s="20"/>
    </row>
    <row r="8" spans="1:13" ht="12.75">
      <c r="A8" s="84" t="s">
        <v>204</v>
      </c>
      <c r="B8" s="85"/>
      <c r="C8" s="85"/>
      <c r="D8" s="14">
        <f>'Income Statement'!D13</f>
        <v>1.28</v>
      </c>
      <c r="E8" s="14">
        <f>'Income Statement'!E13</f>
        <v>5.407919999999997</v>
      </c>
      <c r="F8" s="14">
        <f>'Income Statement'!F13</f>
        <v>5.106080985600002</v>
      </c>
      <c r="G8" s="14">
        <f>'Income Statement'!G13</f>
        <v>2.426107634496006</v>
      </c>
      <c r="H8" s="14">
        <f>'Income Statement'!H13</f>
        <v>2.86973874480384</v>
      </c>
      <c r="I8" s="14">
        <f>'Income Statement'!I13</f>
        <v>3.3575943314204864</v>
      </c>
      <c r="J8" s="14">
        <f>'Income Statement'!J13</f>
        <v>3.5086860763344134</v>
      </c>
      <c r="K8" s="14">
        <f>'Income Statement'!K13</f>
        <v>3.66657694976945</v>
      </c>
      <c r="L8" s="14">
        <f>'Income Statement'!L13</f>
        <v>3.8315729125090883</v>
      </c>
      <c r="M8" s="39">
        <f>'Income Statement'!M13</f>
        <v>4.003993693571985</v>
      </c>
    </row>
    <row r="9" spans="1:13" ht="12.75">
      <c r="A9" s="84" t="s">
        <v>202</v>
      </c>
      <c r="B9" s="85"/>
      <c r="C9" s="85"/>
      <c r="D9" s="14">
        <v>0</v>
      </c>
      <c r="E9" s="14">
        <v>0</v>
      </c>
      <c r="F9" s="14">
        <v>0</v>
      </c>
      <c r="G9" s="14">
        <f>'Income Statement'!G14</f>
        <v>0.5</v>
      </c>
      <c r="H9" s="14">
        <f>'Income Statement'!H14</f>
        <v>0.5</v>
      </c>
      <c r="I9" s="14">
        <f>'Income Statement'!I14</f>
        <v>0.5</v>
      </c>
      <c r="J9" s="14">
        <f>'Income Statement'!J14</f>
        <v>0.5</v>
      </c>
      <c r="K9" s="14">
        <f>'Income Statement'!K14</f>
        <v>0</v>
      </c>
      <c r="L9" s="14">
        <f>'Income Statement'!L14</f>
        <v>0</v>
      </c>
      <c r="M9" s="39">
        <f>'Income Statement'!M14</f>
        <v>0</v>
      </c>
    </row>
    <row r="10" spans="1:13" ht="12.75">
      <c r="A10" s="84" t="s">
        <v>203</v>
      </c>
      <c r="B10" s="85"/>
      <c r="C10" s="85"/>
      <c r="D10" s="14">
        <f>'Income Statement'!D27</f>
        <v>0</v>
      </c>
      <c r="E10" s="14">
        <f>'Income Statement'!E27</f>
        <v>0</v>
      </c>
      <c r="F10" s="14">
        <f>'Income Statement'!F27</f>
        <v>0</v>
      </c>
      <c r="G10" s="14">
        <f>'Income Statement'!G27</f>
        <v>2.6400000000000006</v>
      </c>
      <c r="H10" s="14">
        <f>'Income Statement'!H27</f>
        <v>2.956800000000001</v>
      </c>
      <c r="I10" s="14">
        <f>'Income Statement'!I27</f>
        <v>3.3116160000000043</v>
      </c>
      <c r="J10" s="14">
        <f>'Income Statement'!J27</f>
        <v>3.7090099200000033</v>
      </c>
      <c r="K10" s="14">
        <f>'Income Statement'!K27</f>
        <v>4.154091110400003</v>
      </c>
      <c r="L10" s="14">
        <f>'Income Statement'!L27</f>
        <v>4.652582043648003</v>
      </c>
      <c r="M10" s="39">
        <f>'Income Statement'!M27</f>
        <v>5.210891888885769</v>
      </c>
    </row>
    <row r="11" spans="1:13" ht="12.75">
      <c r="A11" s="84" t="s">
        <v>213</v>
      </c>
      <c r="B11" s="85"/>
      <c r="C11" s="85"/>
      <c r="D11" s="14">
        <f>'Balance Sheet'!B44</f>
        <v>0</v>
      </c>
      <c r="E11" s="46">
        <f>'Balance Sheet'!C44</f>
        <v>1.1101776</v>
      </c>
      <c r="F11" s="69">
        <f>'Balance Sheet'!D44</f>
        <v>-3.6068393279999995</v>
      </c>
      <c r="G11" s="46">
        <f>(('Balance Sheet'!F16+'Balance Sheet'!F17)-'Balance Sheet'!F30)-(('Balance Sheet'!G16+'Balance Sheet'!G17)-'Balance Sheet'!G30)</f>
        <v>1.1102203696320032</v>
      </c>
      <c r="H11" s="46">
        <f>(('Balance Sheet'!G16+'Balance Sheet'!G17)-'Balance Sheet'!G30)-(('Balance Sheet'!H16+'Balance Sheet'!H17)-'Balance Sheet'!H30)</f>
        <v>-0.488801654334722</v>
      </c>
      <c r="I11" s="46">
        <f>(('Balance Sheet'!H16+'Balance Sheet'!H17)-'Balance Sheet'!H30)-(('Balance Sheet'!I16+'Balance Sheet'!I17)-'Balance Sheet'!I30)</f>
        <v>-0.57189793557162</v>
      </c>
      <c r="J11" s="46">
        <f>(('Balance Sheet'!I16+'Balance Sheet'!I17)-'Balance Sheet'!I30)-(('Balance Sheet'!J16+'Balance Sheet'!J17)-'Balance Sheet'!J30)</f>
        <v>-0.5976333426723528</v>
      </c>
      <c r="K11" s="46">
        <f>(('Balance Sheet'!J16+'Balance Sheet'!J17)-'Balance Sheet'!J30)-(('Balance Sheet'!K16+'Balance Sheet'!K17)-'Balance Sheet'!K30)</f>
        <v>-0.6245268430925961</v>
      </c>
      <c r="L11" s="46">
        <f>(('Balance Sheet'!K16+'Balance Sheet'!K17)-'Balance Sheet'!K30)-(('Balance Sheet'!L16+'Balance Sheet'!L17)-'Balance Sheet'!L30)</f>
        <v>-0.6526305510317698</v>
      </c>
      <c r="M11" s="52">
        <f>(('Balance Sheet'!L16+'Balance Sheet'!L17)-'Balance Sheet'!L30)-(('Balance Sheet'!M16+'Balance Sheet'!M17)-'Balance Sheet'!M30)</f>
        <v>-0.6819989258281893</v>
      </c>
    </row>
    <row r="12" spans="1:13" ht="12.75">
      <c r="A12" s="41"/>
      <c r="B12" s="85" t="s">
        <v>214</v>
      </c>
      <c r="C12" s="85"/>
      <c r="D12" s="16">
        <f>D6+D8+D9+D10-D11</f>
        <v>7.161343999999986</v>
      </c>
      <c r="E12" s="16">
        <f>E6+E8+E9+E10-E11</f>
        <v>5.720233152000004</v>
      </c>
      <c r="F12" s="16">
        <f>F6+F8+F9+F10-F11</f>
        <v>14.607207603455997</v>
      </c>
      <c r="G12" s="16">
        <f aca="true" t="shared" si="0" ref="G12:M12">SUM(G6:G11)</f>
        <v>11.286509899270403</v>
      </c>
      <c r="H12" s="16">
        <f t="shared" si="0"/>
        <v>12.244459818645236</v>
      </c>
      <c r="I12" s="16">
        <f t="shared" si="0"/>
        <v>14.414258258267559</v>
      </c>
      <c r="J12" s="16">
        <f t="shared" si="0"/>
        <v>16.97767569865862</v>
      </c>
      <c r="K12" s="16">
        <f t="shared" si="0"/>
        <v>17.877107401408274</v>
      </c>
      <c r="L12" s="16">
        <f t="shared" si="0"/>
        <v>19.042098013865544</v>
      </c>
      <c r="M12" s="54">
        <f t="shared" si="0"/>
        <v>20.27732296041477</v>
      </c>
    </row>
    <row r="13" spans="1:13" ht="12.75">
      <c r="A13" s="84" t="s">
        <v>208</v>
      </c>
      <c r="B13" s="85"/>
      <c r="C13" s="85"/>
      <c r="D13" s="14"/>
      <c r="E13" s="14"/>
      <c r="F13" s="14"/>
      <c r="G13" s="14"/>
      <c r="H13" s="14"/>
      <c r="I13" s="14"/>
      <c r="J13" s="14"/>
      <c r="K13" s="14"/>
      <c r="L13" s="14"/>
      <c r="M13" s="39"/>
    </row>
    <row r="14" spans="1:13" ht="12.75">
      <c r="A14" s="84" t="s">
        <v>224</v>
      </c>
      <c r="B14" s="85"/>
      <c r="C14" s="85"/>
      <c r="D14" s="46"/>
      <c r="E14" s="46"/>
      <c r="F14" s="46"/>
      <c r="G14" s="46">
        <f>'Balance Sheet'!F19-'Balance Sheet'!G19</f>
        <v>0</v>
      </c>
      <c r="H14" s="46">
        <f>'Balance Sheet'!G19-'Balance Sheet'!H19</f>
        <v>0</v>
      </c>
      <c r="I14" s="46">
        <f>'Balance Sheet'!H19-'Balance Sheet'!I19</f>
        <v>0</v>
      </c>
      <c r="J14" s="46">
        <f>'Balance Sheet'!I19-'Balance Sheet'!J19</f>
        <v>-8.894687433119387</v>
      </c>
      <c r="K14" s="46">
        <f>'Balance Sheet'!J19-'Balance Sheet'!K19</f>
        <v>-7.445788633205254</v>
      </c>
      <c r="L14" s="46">
        <f>'Balance Sheet'!K19-'Balance Sheet'!L19</f>
        <v>-7.859551935436883</v>
      </c>
      <c r="M14" s="52">
        <f>'Balance Sheet'!L19-'Balance Sheet'!M19</f>
        <v>-8.474904299506179</v>
      </c>
    </row>
    <row r="15" spans="1:13" ht="12.75">
      <c r="A15" s="84" t="s">
        <v>217</v>
      </c>
      <c r="B15" s="85"/>
      <c r="C15" s="85"/>
      <c r="D15" s="46"/>
      <c r="E15" s="46"/>
      <c r="F15" s="46"/>
      <c r="G15" s="46">
        <f>'Balance Sheet'!F20-'Balance Sheet'!G20</f>
        <v>-3.4658680492800045</v>
      </c>
      <c r="H15" s="46">
        <f>'Balance Sheet'!G20-'Balance Sheet'!H20</f>
        <v>-4.09962677829121</v>
      </c>
      <c r="I15" s="46">
        <f>'Balance Sheet'!H20-'Balance Sheet'!I20</f>
        <v>-4.796563330600691</v>
      </c>
      <c r="J15" s="46">
        <f>'Balance Sheet'!I20-'Balance Sheet'!J20</f>
        <v>-5.0124086804777335</v>
      </c>
      <c r="K15" s="46">
        <f>'Balance Sheet'!J20-'Balance Sheet'!K20</f>
        <v>-5.23796707109922</v>
      </c>
      <c r="L15" s="46">
        <f>'Balance Sheet'!K20-'Balance Sheet'!L20</f>
        <v>-5.4736755892986935</v>
      </c>
      <c r="M15" s="52">
        <f>'Balance Sheet'!L20-'Balance Sheet'!M20</f>
        <v>-5.719990990817124</v>
      </c>
    </row>
    <row r="16" spans="1:13" ht="12.75">
      <c r="A16" s="84" t="s">
        <v>206</v>
      </c>
      <c r="B16" s="85"/>
      <c r="C16" s="85"/>
      <c r="D16" s="55">
        <f>D14+D15</f>
        <v>0</v>
      </c>
      <c r="E16" s="55">
        <f aca="true" t="shared" si="1" ref="E16:M16">E14+E15</f>
        <v>0</v>
      </c>
      <c r="F16" s="55">
        <f t="shared" si="1"/>
        <v>0</v>
      </c>
      <c r="G16" s="55">
        <f t="shared" si="1"/>
        <v>-3.4658680492800045</v>
      </c>
      <c r="H16" s="55">
        <f t="shared" si="1"/>
        <v>-4.09962677829121</v>
      </c>
      <c r="I16" s="55">
        <f t="shared" si="1"/>
        <v>-4.796563330600691</v>
      </c>
      <c r="J16" s="55">
        <f t="shared" si="1"/>
        <v>-13.90709611359712</v>
      </c>
      <c r="K16" s="55">
        <f t="shared" si="1"/>
        <v>-12.683755704304474</v>
      </c>
      <c r="L16" s="55">
        <f t="shared" si="1"/>
        <v>-13.333227524735577</v>
      </c>
      <c r="M16" s="72">
        <f t="shared" si="1"/>
        <v>-14.194895290323302</v>
      </c>
    </row>
    <row r="17" spans="1:13" ht="12.75">
      <c r="A17" s="84" t="s">
        <v>209</v>
      </c>
      <c r="B17" s="85"/>
      <c r="C17" s="85"/>
      <c r="D17" s="14"/>
      <c r="E17" s="14"/>
      <c r="F17" s="14"/>
      <c r="G17" s="14"/>
      <c r="H17" s="14"/>
      <c r="I17" s="14"/>
      <c r="J17" s="14"/>
      <c r="K17" s="14"/>
      <c r="L17" s="14"/>
      <c r="M17" s="39"/>
    </row>
    <row r="18" spans="1:13" ht="12.75">
      <c r="A18" s="84" t="s">
        <v>216</v>
      </c>
      <c r="B18" s="85"/>
      <c r="C18" s="85"/>
      <c r="D18" s="14">
        <v>0</v>
      </c>
      <c r="E18" s="14">
        <v>0</v>
      </c>
      <c r="F18" s="14">
        <v>0</v>
      </c>
      <c r="G18" s="46">
        <f>'Balance Sheet'!G35-'Balance Sheet'!F35</f>
        <v>-7.500090963155209</v>
      </c>
      <c r="H18" s="46">
        <f>'Balance Sheet'!H35-'Balance Sheet'!G35</f>
        <v>-7.96034983533092</v>
      </c>
      <c r="I18" s="46">
        <f>'Balance Sheet'!I35-'Balance Sheet'!H35</f>
        <v>-7.769804201513875</v>
      </c>
      <c r="J18" s="46">
        <f>'Balance Sheet'!J35-'Balance Sheet'!I35</f>
        <v>-4.524225090000002</v>
      </c>
      <c r="K18" s="46">
        <f>'Balance Sheet'!K35-'Balance Sheet'!J35</f>
        <v>-4.982825712899999</v>
      </c>
      <c r="L18" s="46">
        <f>'Balance Sheet'!L35-'Balance Sheet'!K35</f>
        <v>-5.488870835637002</v>
      </c>
      <c r="M18" s="52">
        <f>'Balance Sheet'!M35-'Balance Sheet'!L35</f>
        <v>-6.082427670091475</v>
      </c>
    </row>
    <row r="19" spans="1:13" ht="12.75">
      <c r="A19" s="84" t="s">
        <v>210</v>
      </c>
      <c r="B19" s="85"/>
      <c r="C19" s="85"/>
      <c r="D19" s="16">
        <f>SUM(D18:D18)</f>
        <v>0</v>
      </c>
      <c r="E19" s="16">
        <f>SUM(E18:E18)</f>
        <v>0</v>
      </c>
      <c r="F19" s="16">
        <v>0</v>
      </c>
      <c r="G19" s="55">
        <f>SUM(G18:G18)</f>
        <v>-7.500090963155209</v>
      </c>
      <c r="H19" s="55">
        <f aca="true" t="shared" si="2" ref="H19:M19">SUM(H18:H18)</f>
        <v>-7.96034983533092</v>
      </c>
      <c r="I19" s="55">
        <f t="shared" si="2"/>
        <v>-7.769804201513875</v>
      </c>
      <c r="J19" s="55">
        <f t="shared" si="2"/>
        <v>-4.524225090000002</v>
      </c>
      <c r="K19" s="55">
        <f t="shared" si="2"/>
        <v>-4.982825712899999</v>
      </c>
      <c r="L19" s="55">
        <f t="shared" si="2"/>
        <v>-5.488870835637002</v>
      </c>
      <c r="M19" s="72">
        <f t="shared" si="2"/>
        <v>-6.082427670091475</v>
      </c>
    </row>
    <row r="20" spans="1:13" ht="12.75">
      <c r="A20" s="84" t="s">
        <v>221</v>
      </c>
      <c r="B20" s="85"/>
      <c r="C20" s="85"/>
      <c r="D20" s="46"/>
      <c r="E20" s="46"/>
      <c r="F20" s="46"/>
      <c r="G20" s="46">
        <f aca="true" t="shared" si="3" ref="G20:M20">G12+G16+G19</f>
        <v>0.3205508868351892</v>
      </c>
      <c r="H20" s="46">
        <f t="shared" si="3"/>
        <v>0.18448320502310622</v>
      </c>
      <c r="I20" s="46">
        <f t="shared" si="3"/>
        <v>1.8478907261529933</v>
      </c>
      <c r="J20" s="46">
        <f t="shared" si="3"/>
        <v>-1.4536455049385033</v>
      </c>
      <c r="K20" s="46">
        <f t="shared" si="3"/>
        <v>0.21052598420380164</v>
      </c>
      <c r="L20" s="46">
        <f t="shared" si="3"/>
        <v>0.21999965349296602</v>
      </c>
      <c r="M20" s="52">
        <f t="shared" si="3"/>
        <v>0</v>
      </c>
    </row>
    <row r="21" spans="1:13" ht="12.75">
      <c r="A21" s="84" t="s">
        <v>222</v>
      </c>
      <c r="B21" s="85"/>
      <c r="C21" s="85"/>
      <c r="D21" s="46"/>
      <c r="E21" s="46"/>
      <c r="F21" s="46"/>
      <c r="G21" s="46">
        <f>'Balance Sheet'!F15-0.02</f>
        <v>3.78</v>
      </c>
      <c r="H21" s="46">
        <f aca="true" t="shared" si="4" ref="H21:M21">G22</f>
        <v>4.1005508868351885</v>
      </c>
      <c r="I21" s="46">
        <f t="shared" si="4"/>
        <v>4.285034091858295</v>
      </c>
      <c r="J21" s="46">
        <f t="shared" si="4"/>
        <v>6.132924818011288</v>
      </c>
      <c r="K21" s="46">
        <f t="shared" si="4"/>
        <v>4.679279313072785</v>
      </c>
      <c r="L21" s="46">
        <f t="shared" si="4"/>
        <v>4.889805297276586</v>
      </c>
      <c r="M21" s="52">
        <f t="shared" si="4"/>
        <v>5.109804950769552</v>
      </c>
    </row>
    <row r="22" spans="1:13" ht="12.75">
      <c r="A22" s="100" t="s">
        <v>223</v>
      </c>
      <c r="B22" s="101"/>
      <c r="C22" s="101"/>
      <c r="D22" s="73"/>
      <c r="E22" s="73"/>
      <c r="F22" s="73"/>
      <c r="G22" s="55">
        <f aca="true" t="shared" si="5" ref="G22:M22">G20+G21</f>
        <v>4.1005508868351885</v>
      </c>
      <c r="H22" s="55">
        <f t="shared" si="5"/>
        <v>4.285034091858295</v>
      </c>
      <c r="I22" s="55">
        <f t="shared" si="5"/>
        <v>6.132924818011288</v>
      </c>
      <c r="J22" s="55">
        <f t="shared" si="5"/>
        <v>4.679279313072785</v>
      </c>
      <c r="K22" s="55">
        <f t="shared" si="5"/>
        <v>4.889805297276586</v>
      </c>
      <c r="L22" s="55">
        <f t="shared" si="5"/>
        <v>5.109804950769552</v>
      </c>
      <c r="M22" s="72">
        <f t="shared" si="5"/>
        <v>5.109804950769552</v>
      </c>
    </row>
    <row r="23" spans="1:13" ht="12.75">
      <c r="A23" s="53"/>
      <c r="B23" s="49"/>
      <c r="C23" s="49"/>
      <c r="D23" s="49"/>
      <c r="E23" s="76" t="s">
        <v>251</v>
      </c>
      <c r="F23" s="76"/>
      <c r="G23" s="76"/>
      <c r="H23" s="76"/>
      <c r="I23" s="76"/>
      <c r="J23" s="49"/>
      <c r="K23" s="49"/>
      <c r="L23" s="49"/>
      <c r="M23" s="50"/>
    </row>
    <row r="24" spans="1:13" ht="12.75">
      <c r="A24" s="18" t="s">
        <v>26</v>
      </c>
      <c r="B24" s="19"/>
      <c r="C24" s="19"/>
      <c r="D24" s="14">
        <f>'Income Statement'!D28</f>
        <v>5.881343999999986</v>
      </c>
      <c r="E24" s="14">
        <f>'Income Statement'!E28</f>
        <v>1.4224907520000074</v>
      </c>
      <c r="F24" s="14">
        <f>'Income Statement'!F28</f>
        <v>5.8942872898559955</v>
      </c>
      <c r="G24" s="14">
        <f>'Income Statement'!G28</f>
        <v>4.610181895142393</v>
      </c>
      <c r="H24" s="14">
        <f>'Income Statement'!H28</f>
        <v>6.406722728176117</v>
      </c>
      <c r="I24" s="14">
        <f>'Income Statement'!I28</f>
        <v>7.816945862418688</v>
      </c>
      <c r="J24" s="14">
        <f>'Income Statement'!J28</f>
        <v>9.857613044996555</v>
      </c>
      <c r="K24" s="14">
        <f>'Income Statement'!K28</f>
        <v>10.680966184331417</v>
      </c>
      <c r="L24" s="14">
        <f>'Income Statement'!L28</f>
        <v>11.210573608740223</v>
      </c>
      <c r="M24" s="39">
        <f>'Income Statement'!M28</f>
        <v>11.744436303785207</v>
      </c>
    </row>
    <row r="25" spans="1:13" ht="12.75">
      <c r="A25" s="18" t="s">
        <v>54</v>
      </c>
      <c r="B25" s="19"/>
      <c r="C25" s="19"/>
      <c r="D25" s="19">
        <v>0</v>
      </c>
      <c r="E25" s="19">
        <v>0</v>
      </c>
      <c r="F25" s="19">
        <v>0</v>
      </c>
      <c r="G25" s="14">
        <f>0.4*Financing!D21</f>
        <v>1.7240367253264126</v>
      </c>
      <c r="H25" s="14">
        <f>0.4*Financing!E21</f>
        <v>1.4351253312544996</v>
      </c>
      <c r="I25" s="14">
        <f>0.4*Financing!F21</f>
        <v>1.1525819999999998</v>
      </c>
      <c r="J25" s="14">
        <f>0.4*Financing!G21</f>
        <v>0.9863099639999998</v>
      </c>
      <c r="K25" s="14">
        <f>0.4*Financing!H21</f>
        <v>0.8028697148399999</v>
      </c>
      <c r="L25" s="14">
        <f>0.4*Financing!I21</f>
        <v>0.6004516657451999</v>
      </c>
      <c r="M25" s="39">
        <f>0.4*Financing!J21</f>
        <v>0.37705163342021986</v>
      </c>
    </row>
    <row r="26" spans="1:13" ht="12.75">
      <c r="A26" s="84" t="s">
        <v>104</v>
      </c>
      <c r="B26" s="85"/>
      <c r="C26" s="85"/>
      <c r="D26" s="14">
        <f>'Income Statement'!D13</f>
        <v>1.28</v>
      </c>
      <c r="E26" s="14">
        <f>'Income Statement'!E13</f>
        <v>5.407919999999997</v>
      </c>
      <c r="F26" s="14">
        <f>'Income Statement'!F13</f>
        <v>5.106080985600002</v>
      </c>
      <c r="G26" s="14">
        <f>'Income Statement'!G13</f>
        <v>2.426107634496006</v>
      </c>
      <c r="H26" s="14">
        <f>'Income Statement'!H13</f>
        <v>2.86973874480384</v>
      </c>
      <c r="I26" s="14">
        <f>'Income Statement'!I13</f>
        <v>3.3575943314204864</v>
      </c>
      <c r="J26" s="14">
        <f>'Income Statement'!J13</f>
        <v>3.5086860763344134</v>
      </c>
      <c r="K26" s="14">
        <f>'Income Statement'!K13</f>
        <v>3.66657694976945</v>
      </c>
      <c r="L26" s="14">
        <f>'Income Statement'!L13</f>
        <v>3.8315729125090883</v>
      </c>
      <c r="M26" s="39">
        <f>'Income Statement'!M13</f>
        <v>4.003993693571985</v>
      </c>
    </row>
    <row r="27" spans="1:13" ht="12.75">
      <c r="A27" s="18" t="s">
        <v>55</v>
      </c>
      <c r="B27" s="19"/>
      <c r="C27" s="19"/>
      <c r="D27" s="19">
        <v>0</v>
      </c>
      <c r="E27" s="19">
        <v>0</v>
      </c>
      <c r="F27" s="19">
        <v>0</v>
      </c>
      <c r="G27" s="19">
        <f>'Income Statement'!G14</f>
        <v>0.5</v>
      </c>
      <c r="H27" s="19">
        <f>'Income Statement'!H14</f>
        <v>0.5</v>
      </c>
      <c r="I27" s="19">
        <f>'Income Statement'!I14</f>
        <v>0.5</v>
      </c>
      <c r="J27" s="19">
        <f>'Income Statement'!J14</f>
        <v>0.5</v>
      </c>
      <c r="K27" s="19">
        <f>'Income Statement'!K14</f>
        <v>0</v>
      </c>
      <c r="L27" s="19">
        <f>'Income Statement'!L14</f>
        <v>0</v>
      </c>
      <c r="M27" s="20">
        <f>'Income Statement'!M14</f>
        <v>0</v>
      </c>
    </row>
    <row r="28" spans="1:13" ht="12.75">
      <c r="A28" s="18" t="s">
        <v>57</v>
      </c>
      <c r="B28" s="19"/>
      <c r="C28" s="19"/>
      <c r="D28" s="19">
        <v>0</v>
      </c>
      <c r="E28" s="19">
        <v>0</v>
      </c>
      <c r="F28" s="19">
        <v>0</v>
      </c>
      <c r="G28" s="14">
        <f>'Income Statement'!G27</f>
        <v>2.6400000000000006</v>
      </c>
      <c r="H28" s="14">
        <f>'Income Statement'!H27</f>
        <v>2.956800000000001</v>
      </c>
      <c r="I28" s="14">
        <f>'Income Statement'!I27</f>
        <v>3.3116160000000043</v>
      </c>
      <c r="J28" s="14">
        <f>'Income Statement'!J27</f>
        <v>3.7090099200000033</v>
      </c>
      <c r="K28" s="14">
        <f>'Income Statement'!K27</f>
        <v>4.154091110400003</v>
      </c>
      <c r="L28" s="14">
        <f>'Income Statement'!L27</f>
        <v>4.652582043648003</v>
      </c>
      <c r="M28" s="39">
        <f>'Income Statement'!M27</f>
        <v>5.210891888885769</v>
      </c>
    </row>
    <row r="29" spans="1:13" ht="12.75">
      <c r="A29" s="84" t="s">
        <v>215</v>
      </c>
      <c r="B29" s="85"/>
      <c r="C29" s="85"/>
      <c r="D29" s="14">
        <f>SUM(D24:D28)</f>
        <v>7.161343999999986</v>
      </c>
      <c r="E29" s="14">
        <f aca="true" t="shared" si="6" ref="E29:M29">SUM(E24:E28)</f>
        <v>6.830410752000004</v>
      </c>
      <c r="F29" s="14">
        <f t="shared" si="6"/>
        <v>11.000368275455997</v>
      </c>
      <c r="G29" s="14">
        <f t="shared" si="6"/>
        <v>11.900326254964812</v>
      </c>
      <c r="H29" s="14">
        <f t="shared" si="6"/>
        <v>14.168386804234459</v>
      </c>
      <c r="I29" s="14">
        <f t="shared" si="6"/>
        <v>16.138738193839178</v>
      </c>
      <c r="J29" s="14">
        <f t="shared" si="6"/>
        <v>18.56161900533097</v>
      </c>
      <c r="K29" s="14">
        <f t="shared" si="6"/>
        <v>19.30450395934087</v>
      </c>
      <c r="L29" s="14">
        <f t="shared" si="6"/>
        <v>20.295180230642515</v>
      </c>
      <c r="M29" s="39">
        <f t="shared" si="6"/>
        <v>21.33637351966318</v>
      </c>
    </row>
    <row r="30" spans="1:13" ht="12.75">
      <c r="A30" s="18" t="s">
        <v>225</v>
      </c>
      <c r="B30" s="19"/>
      <c r="C30" s="19"/>
      <c r="D30" s="14">
        <f>'Balance Sheet'!B44</f>
        <v>0</v>
      </c>
      <c r="E30" s="46">
        <f>'Balance Sheet'!C44</f>
        <v>1.1101776</v>
      </c>
      <c r="F30" s="46">
        <f>'Balance Sheet'!D44</f>
        <v>-3.6068393279999995</v>
      </c>
      <c r="G30" s="46">
        <f>'Balance Sheet'!G44</f>
        <v>1.1102203696320032</v>
      </c>
      <c r="H30" s="69">
        <f>'Balance Sheet'!H44</f>
        <v>-0.488801654334722</v>
      </c>
      <c r="I30" s="46">
        <f>'Balance Sheet'!I44</f>
        <v>-0.57189793557162</v>
      </c>
      <c r="J30" s="46">
        <f>'Balance Sheet'!J44</f>
        <v>-0.5976333426723528</v>
      </c>
      <c r="K30" s="46">
        <f>'Balance Sheet'!K44</f>
        <v>-0.6245268430925961</v>
      </c>
      <c r="L30" s="46">
        <f>'Balance Sheet'!L44</f>
        <v>-0.6526305510317698</v>
      </c>
      <c r="M30" s="52">
        <f>'Balance Sheet'!M44</f>
        <v>-0.6819989258281893</v>
      </c>
    </row>
    <row r="31" spans="1:13" ht="12.75">
      <c r="A31" s="84" t="s">
        <v>226</v>
      </c>
      <c r="B31" s="83"/>
      <c r="C31" s="83"/>
      <c r="D31" s="14">
        <f>SUM(D29:D30)</f>
        <v>7.161343999999986</v>
      </c>
      <c r="E31" s="14">
        <f aca="true" t="shared" si="7" ref="E31:M31">SUM(E29:E30)</f>
        <v>7.940588352000004</v>
      </c>
      <c r="F31" s="14">
        <f t="shared" si="7"/>
        <v>7.393528947455998</v>
      </c>
      <c r="G31" s="14">
        <f t="shared" si="7"/>
        <v>13.010546624596815</v>
      </c>
      <c r="H31" s="14">
        <f t="shared" si="7"/>
        <v>13.679585149899737</v>
      </c>
      <c r="I31" s="14">
        <f t="shared" si="7"/>
        <v>15.566840258267558</v>
      </c>
      <c r="J31" s="14">
        <f t="shared" si="7"/>
        <v>17.96398566265862</v>
      </c>
      <c r="K31" s="14">
        <f t="shared" si="7"/>
        <v>18.679977116248274</v>
      </c>
      <c r="L31" s="14">
        <f t="shared" si="7"/>
        <v>19.642549679610745</v>
      </c>
      <c r="M31" s="14">
        <f t="shared" si="7"/>
        <v>20.65437459383499</v>
      </c>
    </row>
    <row r="32" spans="1:13" ht="12.75">
      <c r="A32" s="84" t="s">
        <v>274</v>
      </c>
      <c r="B32" s="83"/>
      <c r="C32" s="83"/>
      <c r="D32" s="14"/>
      <c r="E32" s="14"/>
      <c r="F32" s="14"/>
      <c r="G32" s="70">
        <f>'Balance Sheet'!F19-'Balance Sheet'!G19</f>
        <v>0</v>
      </c>
      <c r="H32" s="70">
        <f>'Balance Sheet'!G19-'Balance Sheet'!H19</f>
        <v>0</v>
      </c>
      <c r="I32" s="70">
        <f>'Balance Sheet'!H19-'Balance Sheet'!I19</f>
        <v>0</v>
      </c>
      <c r="J32" s="70">
        <f>'Balance Sheet'!I19-'Balance Sheet'!J19</f>
        <v>-8.894687433119387</v>
      </c>
      <c r="K32" s="70">
        <f>'Balance Sheet'!J19-'Balance Sheet'!K19</f>
        <v>-7.445788633205254</v>
      </c>
      <c r="L32" s="70">
        <f>'Balance Sheet'!K19-'Balance Sheet'!L19</f>
        <v>-7.859551935436883</v>
      </c>
      <c r="M32" s="70">
        <f>'Balance Sheet'!L19-'Balance Sheet'!M19</f>
        <v>-8.474904299506179</v>
      </c>
    </row>
    <row r="33" spans="1:13" ht="12.75">
      <c r="A33" s="84" t="s">
        <v>212</v>
      </c>
      <c r="B33" s="85"/>
      <c r="C33" s="85"/>
      <c r="D33" s="46">
        <v>-3</v>
      </c>
      <c r="E33" s="46">
        <f>-('Balance Sheet'!C20-'Balance Sheet'!B20)</f>
        <v>-7.7256</v>
      </c>
      <c r="F33" s="46">
        <f>-('Balance Sheet'!D20-'Balance Sheet'!C20)</f>
        <v>-7.294401407999999</v>
      </c>
      <c r="G33" s="46">
        <f>-('Balance Sheet'!G20-'Balance Sheet'!F20)</f>
        <v>-3.4658680492800045</v>
      </c>
      <c r="H33" s="46">
        <f>-('Balance Sheet'!H20-'Balance Sheet'!G20)</f>
        <v>-4.09962677829121</v>
      </c>
      <c r="I33" s="46">
        <f>-('Balance Sheet'!I20-'Balance Sheet'!H20)</f>
        <v>-4.796563330600691</v>
      </c>
      <c r="J33" s="46">
        <f>-('Balance Sheet'!J20-'Balance Sheet'!I20)</f>
        <v>-5.0124086804777335</v>
      </c>
      <c r="K33" s="46">
        <f>-('Balance Sheet'!K20-'Balance Sheet'!J20)</f>
        <v>-5.23796707109922</v>
      </c>
      <c r="L33" s="46">
        <f>-('Balance Sheet'!L20-'Balance Sheet'!K20)</f>
        <v>-5.4736755892986935</v>
      </c>
      <c r="M33" s="52">
        <f>-('Balance Sheet'!M20-'Balance Sheet'!L20)</f>
        <v>-5.719990990817124</v>
      </c>
    </row>
    <row r="34" spans="1:13" ht="12.75">
      <c r="A34" s="84" t="s">
        <v>143</v>
      </c>
      <c r="B34" s="85"/>
      <c r="C34" s="85"/>
      <c r="D34" s="16">
        <f>D31+D33</f>
        <v>4.161343999999986</v>
      </c>
      <c r="E34" s="16">
        <f>E31+E33</f>
        <v>0.2149883520000042</v>
      </c>
      <c r="F34" s="16">
        <f>F31+F33</f>
        <v>0.09912753945599917</v>
      </c>
      <c r="G34" s="16">
        <f>SUM(G31:G33)</f>
        <v>9.54467857531681</v>
      </c>
      <c r="H34" s="16">
        <f aca="true" t="shared" si="8" ref="H34:M34">SUM(H31:H33)</f>
        <v>9.579958371608527</v>
      </c>
      <c r="I34" s="16">
        <f t="shared" si="8"/>
        <v>10.770276927666867</v>
      </c>
      <c r="J34" s="16">
        <f t="shared" si="8"/>
        <v>4.0568895490614985</v>
      </c>
      <c r="K34" s="16">
        <f t="shared" si="8"/>
        <v>5.9962214119438</v>
      </c>
      <c r="L34" s="16">
        <f t="shared" si="8"/>
        <v>6.309322154875169</v>
      </c>
      <c r="M34" s="16">
        <f t="shared" si="8"/>
        <v>6.459479303511689</v>
      </c>
    </row>
    <row r="35" spans="1:13" ht="12.75">
      <c r="A35" s="18" t="s">
        <v>54</v>
      </c>
      <c r="B35" s="19"/>
      <c r="C35" s="19"/>
      <c r="D35" s="14">
        <f>D25</f>
        <v>0</v>
      </c>
      <c r="E35" s="14">
        <f aca="true" t="shared" si="9" ref="E35:M35">E25</f>
        <v>0</v>
      </c>
      <c r="F35" s="14">
        <f t="shared" si="9"/>
        <v>0</v>
      </c>
      <c r="G35" s="14">
        <f t="shared" si="9"/>
        <v>1.7240367253264126</v>
      </c>
      <c r="H35" s="14">
        <f t="shared" si="9"/>
        <v>1.4351253312544996</v>
      </c>
      <c r="I35" s="14">
        <f t="shared" si="9"/>
        <v>1.1525819999999998</v>
      </c>
      <c r="J35" s="14">
        <f t="shared" si="9"/>
        <v>0.9863099639999998</v>
      </c>
      <c r="K35" s="14">
        <f t="shared" si="9"/>
        <v>0.8028697148399999</v>
      </c>
      <c r="L35" s="14">
        <f t="shared" si="9"/>
        <v>0.6004516657451999</v>
      </c>
      <c r="M35" s="39">
        <f t="shared" si="9"/>
        <v>0.37705163342021986</v>
      </c>
    </row>
    <row r="36" spans="1:13" ht="12.75">
      <c r="A36" s="18" t="s">
        <v>56</v>
      </c>
      <c r="B36" s="19"/>
      <c r="C36" s="19"/>
      <c r="D36" s="14">
        <v>0</v>
      </c>
      <c r="E36" s="14">
        <v>0</v>
      </c>
      <c r="F36" s="14">
        <v>0</v>
      </c>
      <c r="G36" s="46">
        <f>-Financing!D27</f>
        <v>-7.500090963155209</v>
      </c>
      <c r="H36" s="46">
        <f>-Financing!E27</f>
        <v>-7.960349835330916</v>
      </c>
      <c r="I36" s="46">
        <f>-Financing!F27</f>
        <v>-7.7698042015138755</v>
      </c>
      <c r="J36" s="46">
        <f>-Financing!G27</f>
        <v>-4.524225090000001</v>
      </c>
      <c r="K36" s="46">
        <f>-Financing!H27</f>
        <v>-4.9828257129</v>
      </c>
      <c r="L36" s="46">
        <f>-Financing!I27</f>
        <v>-5.488870835637001</v>
      </c>
      <c r="M36" s="52">
        <f>-Financing!J27</f>
        <v>-6.0473709164494505</v>
      </c>
    </row>
    <row r="37" spans="1:13" ht="12.75">
      <c r="A37" s="105" t="s">
        <v>144</v>
      </c>
      <c r="B37" s="106"/>
      <c r="C37" s="106"/>
      <c r="D37" s="16">
        <f>D34-D35+D36</f>
        <v>4.161343999999986</v>
      </c>
      <c r="E37" s="16">
        <f>E34-E35+E36</f>
        <v>0.2149883520000042</v>
      </c>
      <c r="F37" s="16">
        <f>F34-F35+F36</f>
        <v>0.09912753945599917</v>
      </c>
      <c r="G37" s="55">
        <f>G34-G35+G36</f>
        <v>0.3205508868351892</v>
      </c>
      <c r="H37" s="16">
        <f aca="true" t="shared" si="10" ref="H37:M37">H34-H35+H36</f>
        <v>0.18448320502310978</v>
      </c>
      <c r="I37" s="16">
        <f t="shared" si="10"/>
        <v>1.8478907261529924</v>
      </c>
      <c r="J37" s="71">
        <f t="shared" si="10"/>
        <v>-1.453645504938502</v>
      </c>
      <c r="K37" s="16">
        <f t="shared" si="10"/>
        <v>0.21052598420379987</v>
      </c>
      <c r="L37" s="16">
        <f t="shared" si="10"/>
        <v>0.2199996534929678</v>
      </c>
      <c r="M37" s="16">
        <f t="shared" si="10"/>
        <v>0.0350567536420181</v>
      </c>
    </row>
    <row r="38" spans="1:13" ht="12.75">
      <c r="A38" s="18" t="s">
        <v>58</v>
      </c>
      <c r="B38" s="19"/>
      <c r="C38" s="19"/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39">
        <v>0</v>
      </c>
    </row>
    <row r="39" spans="1:13" ht="12.75">
      <c r="A39" s="18" t="s">
        <v>59</v>
      </c>
      <c r="B39" s="19"/>
      <c r="C39" s="19"/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39">
        <v>0</v>
      </c>
    </row>
    <row r="40" spans="1:13" ht="12.75">
      <c r="A40" s="84" t="s">
        <v>60</v>
      </c>
      <c r="B40" s="85"/>
      <c r="C40" s="85"/>
      <c r="D40" s="14">
        <f aca="true" t="shared" si="11" ref="D40:M40">D37-D38+D39</f>
        <v>4.161343999999986</v>
      </c>
      <c r="E40" s="14">
        <f t="shared" si="11"/>
        <v>0.2149883520000042</v>
      </c>
      <c r="F40" s="14">
        <f t="shared" si="11"/>
        <v>0.09912753945599917</v>
      </c>
      <c r="G40" s="46">
        <f t="shared" si="11"/>
        <v>0.3205508868351892</v>
      </c>
      <c r="H40" s="14">
        <f t="shared" si="11"/>
        <v>0.18448320502310978</v>
      </c>
      <c r="I40" s="14">
        <f t="shared" si="11"/>
        <v>1.8478907261529924</v>
      </c>
      <c r="J40" s="69">
        <f t="shared" si="11"/>
        <v>-1.453645504938502</v>
      </c>
      <c r="K40" s="14">
        <f t="shared" si="11"/>
        <v>0.21052598420379987</v>
      </c>
      <c r="L40" s="14">
        <f t="shared" si="11"/>
        <v>0.2199996534929678</v>
      </c>
      <c r="M40" s="39">
        <f t="shared" si="11"/>
        <v>0.0350567536420181</v>
      </c>
    </row>
    <row r="41" spans="1:13" ht="12.75">
      <c r="A41" s="84" t="s">
        <v>222</v>
      </c>
      <c r="B41" s="85"/>
      <c r="C41" s="85"/>
      <c r="D41" s="13"/>
      <c r="E41" s="13">
        <f>D42</f>
        <v>3.552</v>
      </c>
      <c r="F41" s="13">
        <f aca="true" t="shared" si="12" ref="F41:M41">E42</f>
        <v>3.7669883520000043</v>
      </c>
      <c r="G41" s="13">
        <f t="shared" si="12"/>
        <v>3.8661158914560034</v>
      </c>
      <c r="H41" s="13">
        <f t="shared" si="12"/>
        <v>4.186666778291192</v>
      </c>
      <c r="I41" s="13">
        <f t="shared" si="12"/>
        <v>4.371149983314302</v>
      </c>
      <c r="J41" s="13">
        <f t="shared" si="12"/>
        <v>6.219040709467294</v>
      </c>
      <c r="K41" s="13">
        <f t="shared" si="12"/>
        <v>4.765395204528792</v>
      </c>
      <c r="L41" s="13">
        <f t="shared" si="12"/>
        <v>4.975921188732592</v>
      </c>
      <c r="M41" s="34">
        <f t="shared" si="12"/>
        <v>5.19592084222556</v>
      </c>
    </row>
    <row r="42" spans="1:13" ht="12.75">
      <c r="A42" s="84" t="s">
        <v>223</v>
      </c>
      <c r="B42" s="85"/>
      <c r="C42" s="85"/>
      <c r="D42" s="16">
        <f>'Balance Sheet'!B45</f>
        <v>3.552</v>
      </c>
      <c r="E42" s="16">
        <f aca="true" t="shared" si="13" ref="E42:M42">E41+E40</f>
        <v>3.7669883520000043</v>
      </c>
      <c r="F42" s="16">
        <f t="shared" si="13"/>
        <v>3.8661158914560034</v>
      </c>
      <c r="G42" s="16">
        <f t="shared" si="13"/>
        <v>4.186666778291192</v>
      </c>
      <c r="H42" s="16">
        <f t="shared" si="13"/>
        <v>4.371149983314302</v>
      </c>
      <c r="I42" s="16">
        <f t="shared" si="13"/>
        <v>6.219040709467294</v>
      </c>
      <c r="J42" s="16">
        <f t="shared" si="13"/>
        <v>4.765395204528792</v>
      </c>
      <c r="K42" s="16">
        <f t="shared" si="13"/>
        <v>4.975921188732592</v>
      </c>
      <c r="L42" s="16">
        <f t="shared" si="13"/>
        <v>5.19592084222556</v>
      </c>
      <c r="M42" s="54">
        <f t="shared" si="13"/>
        <v>5.230977595867578</v>
      </c>
    </row>
    <row r="43" spans="1:13" ht="14.25">
      <c r="A43" s="100" t="s">
        <v>252</v>
      </c>
      <c r="B43" s="101"/>
      <c r="C43" s="101"/>
      <c r="D43" s="13">
        <f>D37-D32</f>
        <v>4.161343999999986</v>
      </c>
      <c r="E43" s="13">
        <f aca="true" t="shared" si="14" ref="E43:M43">E37-E32</f>
        <v>0.2149883520000042</v>
      </c>
      <c r="F43" s="13">
        <f t="shared" si="14"/>
        <v>0.09912753945599917</v>
      </c>
      <c r="G43" s="13">
        <f t="shared" si="14"/>
        <v>0.3205508868351892</v>
      </c>
      <c r="H43" s="13">
        <f t="shared" si="14"/>
        <v>0.18448320502310978</v>
      </c>
      <c r="I43" s="13">
        <f t="shared" si="14"/>
        <v>1.8478907261529924</v>
      </c>
      <c r="J43" s="13">
        <f t="shared" si="14"/>
        <v>7.441041928180885</v>
      </c>
      <c r="K43" s="13">
        <f t="shared" si="14"/>
        <v>7.656314617409054</v>
      </c>
      <c r="L43" s="13">
        <f t="shared" si="14"/>
        <v>8.079551588929851</v>
      </c>
      <c r="M43" s="13">
        <f t="shared" si="14"/>
        <v>8.509961053148196</v>
      </c>
    </row>
    <row r="44" spans="1:13" ht="12.75">
      <c r="A44" s="97" t="s">
        <v>240</v>
      </c>
      <c r="B44" s="97"/>
      <c r="C44" s="97"/>
      <c r="D44" s="14">
        <f>D34-D32</f>
        <v>4.161343999999986</v>
      </c>
      <c r="E44" s="14">
        <f aca="true" t="shared" si="15" ref="E44:M44">E34-E32</f>
        <v>0.2149883520000042</v>
      </c>
      <c r="F44" s="14">
        <f t="shared" si="15"/>
        <v>0.09912753945599917</v>
      </c>
      <c r="G44" s="14">
        <f t="shared" si="15"/>
        <v>9.54467857531681</v>
      </c>
      <c r="H44" s="14">
        <f t="shared" si="15"/>
        <v>9.579958371608527</v>
      </c>
      <c r="I44" s="14">
        <f t="shared" si="15"/>
        <v>10.770276927666867</v>
      </c>
      <c r="J44" s="14">
        <f t="shared" si="15"/>
        <v>12.951576982180885</v>
      </c>
      <c r="K44" s="14">
        <f t="shared" si="15"/>
        <v>13.442010045149054</v>
      </c>
      <c r="L44" s="14">
        <f t="shared" si="15"/>
        <v>14.168874090312052</v>
      </c>
      <c r="M44" s="14">
        <f t="shared" si="15"/>
        <v>14.934383603017867</v>
      </c>
    </row>
    <row r="45" spans="1:13" ht="14.25">
      <c r="A45" s="104" t="s">
        <v>259</v>
      </c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</row>
  </sheetData>
  <mergeCells count="37">
    <mergeCell ref="A44:C44"/>
    <mergeCell ref="A34:C34"/>
    <mergeCell ref="A33:C33"/>
    <mergeCell ref="A26:C26"/>
    <mergeCell ref="A31:C31"/>
    <mergeCell ref="A32:C32"/>
    <mergeCell ref="E23:I23"/>
    <mergeCell ref="A19:C19"/>
    <mergeCell ref="A20:C20"/>
    <mergeCell ref="A29:C29"/>
    <mergeCell ref="A21:C21"/>
    <mergeCell ref="A22:C22"/>
    <mergeCell ref="A18:C18"/>
    <mergeCell ref="B12:C12"/>
    <mergeCell ref="A13:C13"/>
    <mergeCell ref="A15:C15"/>
    <mergeCell ref="A16:C16"/>
    <mergeCell ref="C1:J1"/>
    <mergeCell ref="A10:C10"/>
    <mergeCell ref="A5:C5"/>
    <mergeCell ref="A6:C6"/>
    <mergeCell ref="A7:C7"/>
    <mergeCell ref="G2:M2"/>
    <mergeCell ref="A3:C3"/>
    <mergeCell ref="D2:F2"/>
    <mergeCell ref="A8:C8"/>
    <mergeCell ref="E4:I4"/>
    <mergeCell ref="A45:M45"/>
    <mergeCell ref="A40:C40"/>
    <mergeCell ref="A43:C43"/>
    <mergeCell ref="A9:C9"/>
    <mergeCell ref="A37:C37"/>
    <mergeCell ref="A41:C41"/>
    <mergeCell ref="A42:C42"/>
    <mergeCell ref="A14:C14"/>
    <mergeCell ref="A11:C11"/>
    <mergeCell ref="A17:C17"/>
  </mergeCells>
  <printOptions/>
  <pageMargins left="0.5" right="0.5" top="0.25" bottom="0.25" header="0.5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7"/>
  <sheetViews>
    <sheetView workbookViewId="0" topLeftCell="A3">
      <selection activeCell="E3" sqref="E3:J3"/>
    </sheetView>
  </sheetViews>
  <sheetFormatPr defaultColWidth="9.140625" defaultRowHeight="12.75"/>
  <cols>
    <col min="2" max="2" width="21.140625" style="0" customWidth="1"/>
    <col min="3" max="3" width="13.8515625" style="0" customWidth="1"/>
    <col min="4" max="4" width="10.140625" style="0" customWidth="1"/>
    <col min="5" max="5" width="10.57421875" style="0" customWidth="1"/>
    <col min="8" max="8" width="9.421875" style="0" customWidth="1"/>
    <col min="9" max="9" width="10.421875" style="0" customWidth="1"/>
    <col min="10" max="10" width="10.8515625" style="0" customWidth="1"/>
    <col min="11" max="11" width="9.8515625" style="0" customWidth="1"/>
    <col min="12" max="12" width="10.8515625" style="0" customWidth="1"/>
  </cols>
  <sheetData>
    <row r="1" ht="12.75">
      <c r="E1" t="s">
        <v>63</v>
      </c>
    </row>
    <row r="2" ht="12.75">
      <c r="A2" t="s">
        <v>64</v>
      </c>
    </row>
    <row r="3" spans="4:11" ht="12.75">
      <c r="D3" s="7"/>
      <c r="E3" s="112" t="s">
        <v>62</v>
      </c>
      <c r="F3" s="112"/>
      <c r="G3" s="112"/>
      <c r="H3" s="112"/>
      <c r="I3" s="112"/>
      <c r="J3" s="112"/>
      <c r="K3" s="7"/>
    </row>
    <row r="4" spans="4:11" ht="12.75">
      <c r="D4" s="8">
        <v>2004</v>
      </c>
      <c r="E4" s="8">
        <v>2005</v>
      </c>
      <c r="F4" s="8">
        <v>2006</v>
      </c>
      <c r="G4" s="8">
        <v>2007</v>
      </c>
      <c r="H4" s="8">
        <v>2008</v>
      </c>
      <c r="I4" s="8">
        <v>2009</v>
      </c>
      <c r="J4" s="8">
        <v>2010</v>
      </c>
      <c r="K4" s="8">
        <v>2011</v>
      </c>
    </row>
    <row r="5" spans="1:2" ht="12.75">
      <c r="A5" s="101" t="s">
        <v>74</v>
      </c>
      <c r="B5" s="101"/>
    </row>
    <row r="6" spans="1:11" ht="12.75">
      <c r="A6" t="s">
        <v>65</v>
      </c>
      <c r="D6" s="5">
        <v>9</v>
      </c>
      <c r="E6" s="5">
        <v>9</v>
      </c>
      <c r="F6" s="5">
        <v>9</v>
      </c>
      <c r="G6" s="5">
        <v>9</v>
      </c>
      <c r="H6" s="5">
        <v>9</v>
      </c>
      <c r="I6" s="5">
        <v>9</v>
      </c>
      <c r="J6" s="5">
        <v>9</v>
      </c>
      <c r="K6" s="5">
        <v>9</v>
      </c>
    </row>
    <row r="7" spans="1:11" ht="12.75">
      <c r="A7" t="s">
        <v>66</v>
      </c>
      <c r="D7" s="5">
        <v>9</v>
      </c>
      <c r="E7" s="5">
        <v>9</v>
      </c>
      <c r="F7" s="5">
        <v>9</v>
      </c>
      <c r="G7" s="5">
        <v>9</v>
      </c>
      <c r="H7" s="5">
        <v>9</v>
      </c>
      <c r="I7" s="5">
        <v>9</v>
      </c>
      <c r="J7" s="5">
        <v>9</v>
      </c>
      <c r="K7" s="5">
        <v>9</v>
      </c>
    </row>
    <row r="8" spans="1:11" ht="12.75">
      <c r="A8" t="s">
        <v>68</v>
      </c>
      <c r="D8" s="5">
        <v>12</v>
      </c>
      <c r="E8" s="5">
        <v>12</v>
      </c>
      <c r="F8" s="5">
        <v>12</v>
      </c>
      <c r="G8" s="5">
        <v>12</v>
      </c>
      <c r="H8" s="5">
        <v>12</v>
      </c>
      <c r="I8" s="5">
        <v>12</v>
      </c>
      <c r="J8" s="5">
        <v>12</v>
      </c>
      <c r="K8" s="5">
        <v>12</v>
      </c>
    </row>
    <row r="9" spans="1:11" ht="12.75">
      <c r="A9" t="s">
        <v>67</v>
      </c>
      <c r="D9" s="5">
        <v>12</v>
      </c>
      <c r="E9" s="5">
        <v>15</v>
      </c>
      <c r="F9" s="5">
        <v>15</v>
      </c>
      <c r="G9" s="5">
        <v>15</v>
      </c>
      <c r="H9" s="5">
        <v>15</v>
      </c>
      <c r="I9" s="5">
        <v>15</v>
      </c>
      <c r="J9" s="5">
        <v>15</v>
      </c>
      <c r="K9" s="5">
        <v>15</v>
      </c>
    </row>
    <row r="11" spans="1:2" ht="14.25">
      <c r="A11" s="101" t="s">
        <v>156</v>
      </c>
      <c r="B11" s="101"/>
    </row>
    <row r="12" ht="12.75">
      <c r="A12" t="s">
        <v>65</v>
      </c>
    </row>
    <row r="13" spans="1:11" ht="14.25">
      <c r="A13" s="83" t="s">
        <v>157</v>
      </c>
      <c r="B13" s="83"/>
      <c r="D13" s="6">
        <v>3.97</v>
      </c>
      <c r="E13" s="6">
        <v>3.97</v>
      </c>
      <c r="F13" s="6">
        <v>3.97</v>
      </c>
      <c r="G13" s="6">
        <v>3.97</v>
      </c>
      <c r="H13" s="6">
        <v>3.97</v>
      </c>
      <c r="I13" s="6">
        <v>3.97</v>
      </c>
      <c r="J13" s="6">
        <v>3.97</v>
      </c>
      <c r="K13" s="6"/>
    </row>
    <row r="14" spans="1:11" ht="14.25">
      <c r="A14" s="83" t="s">
        <v>158</v>
      </c>
      <c r="B14" s="83"/>
      <c r="D14" s="9">
        <v>3.02</v>
      </c>
      <c r="E14" s="9">
        <v>3.02</v>
      </c>
      <c r="F14" s="9">
        <v>3.02</v>
      </c>
      <c r="G14" s="9">
        <v>3.02</v>
      </c>
      <c r="H14" s="9">
        <v>3.02</v>
      </c>
      <c r="I14" s="9">
        <v>3.02</v>
      </c>
      <c r="J14" s="9">
        <v>3.02</v>
      </c>
      <c r="K14" s="9">
        <v>3.02</v>
      </c>
    </row>
    <row r="15" spans="1:11" ht="12.75">
      <c r="A15" s="83" t="s">
        <v>69</v>
      </c>
      <c r="B15" s="83"/>
      <c r="D15" s="9">
        <f>SUM(D12:D14)</f>
        <v>6.99</v>
      </c>
      <c r="E15" s="9">
        <f aca="true" t="shared" si="0" ref="E15:K15">SUM(E12:E14)</f>
        <v>6.99</v>
      </c>
      <c r="F15" s="9">
        <f t="shared" si="0"/>
        <v>6.99</v>
      </c>
      <c r="G15" s="9">
        <f t="shared" si="0"/>
        <v>6.99</v>
      </c>
      <c r="H15" s="9">
        <f t="shared" si="0"/>
        <v>6.99</v>
      </c>
      <c r="I15" s="9">
        <f t="shared" si="0"/>
        <v>6.99</v>
      </c>
      <c r="J15" s="9">
        <f t="shared" si="0"/>
        <v>6.99</v>
      </c>
      <c r="K15" s="9">
        <f t="shared" si="0"/>
        <v>3.02</v>
      </c>
    </row>
    <row r="16" spans="1:11" ht="12.75">
      <c r="A16" s="2"/>
      <c r="B16" s="2"/>
      <c r="C16" s="2"/>
      <c r="D16" s="6"/>
      <c r="E16" s="6"/>
      <c r="F16" s="6"/>
      <c r="G16" s="6"/>
      <c r="H16" s="6"/>
      <c r="I16" s="6"/>
      <c r="J16" s="6"/>
      <c r="K16" s="6"/>
    </row>
    <row r="17" spans="1:11" ht="12.75">
      <c r="A17" s="101" t="s">
        <v>75</v>
      </c>
      <c r="B17" s="101"/>
      <c r="D17" s="6"/>
      <c r="E17" s="6"/>
      <c r="F17" s="6"/>
      <c r="G17" s="6"/>
      <c r="H17" s="6"/>
      <c r="I17" s="6"/>
      <c r="J17" s="6"/>
      <c r="K17" s="6"/>
    </row>
    <row r="18" spans="1:11" ht="12.75">
      <c r="A18" t="s">
        <v>65</v>
      </c>
      <c r="D18" s="6">
        <f>D6*0.01*D30</f>
        <v>0.7100918133160312</v>
      </c>
      <c r="E18" s="6">
        <f>E6*0.01*E30</f>
        <v>0.32951332813624873</v>
      </c>
      <c r="F18" s="6">
        <f>F6*0.01*F30</f>
        <v>0</v>
      </c>
      <c r="G18" s="6"/>
      <c r="H18" s="6"/>
      <c r="I18" s="6"/>
      <c r="J18" s="6"/>
      <c r="K18" s="6"/>
    </row>
    <row r="19" spans="1:11" ht="12.75">
      <c r="A19" t="s">
        <v>66</v>
      </c>
      <c r="D19" s="6">
        <f aca="true" t="shared" si="1" ref="D19:J20">D7*0.01*C31</f>
        <v>1.7999999999999998</v>
      </c>
      <c r="E19" s="6">
        <f t="shared" si="1"/>
        <v>1.6046999999999998</v>
      </c>
      <c r="F19" s="6">
        <f t="shared" si="1"/>
        <v>1.3918229999999996</v>
      </c>
      <c r="G19" s="6">
        <f t="shared" si="1"/>
        <v>1.1597870699999997</v>
      </c>
      <c r="H19" s="6">
        <f t="shared" si="1"/>
        <v>0.9068679062999996</v>
      </c>
      <c r="I19" s="6">
        <f t="shared" si="1"/>
        <v>0.6311860178669997</v>
      </c>
      <c r="J19" s="6">
        <f t="shared" si="1"/>
        <v>0.3306927594750296</v>
      </c>
      <c r="K19" s="6"/>
    </row>
    <row r="20" spans="1:11" ht="12.75">
      <c r="A20" t="s">
        <v>68</v>
      </c>
      <c r="D20" s="9">
        <f t="shared" si="1"/>
        <v>1.7999999999999998</v>
      </c>
      <c r="E20" s="9">
        <f t="shared" si="1"/>
        <v>1.6536</v>
      </c>
      <c r="F20" s="9">
        <f t="shared" si="1"/>
        <v>1.4896319999999998</v>
      </c>
      <c r="G20" s="9">
        <f t="shared" si="1"/>
        <v>1.30598784</v>
      </c>
      <c r="H20" s="9">
        <f t="shared" si="1"/>
        <v>1.1003063808</v>
      </c>
      <c r="I20" s="9">
        <f t="shared" si="1"/>
        <v>0.869943146496</v>
      </c>
      <c r="J20" s="9">
        <f t="shared" si="1"/>
        <v>0.61193632407552</v>
      </c>
      <c r="K20" s="9">
        <f>K8*0.01*J32</f>
        <v>0.32296868296458237</v>
      </c>
    </row>
    <row r="21" spans="1:11" ht="12.75">
      <c r="A21" s="83" t="s">
        <v>70</v>
      </c>
      <c r="B21" s="83"/>
      <c r="C21" s="83"/>
      <c r="D21" s="9">
        <f>SUM(D18:D20)</f>
        <v>4.310091813316031</v>
      </c>
      <c r="E21" s="9">
        <f aca="true" t="shared" si="2" ref="E21:K21">SUM(E18:E20)</f>
        <v>3.5878133281362485</v>
      </c>
      <c r="F21" s="9">
        <f t="shared" si="2"/>
        <v>2.8814549999999994</v>
      </c>
      <c r="G21" s="9">
        <f t="shared" si="2"/>
        <v>2.4657749099999995</v>
      </c>
      <c r="H21" s="9">
        <f t="shared" si="2"/>
        <v>2.0071742871</v>
      </c>
      <c r="I21" s="9">
        <f t="shared" si="2"/>
        <v>1.5011291643629998</v>
      </c>
      <c r="J21" s="9">
        <f t="shared" si="2"/>
        <v>0.9426290835505495</v>
      </c>
      <c r="K21" s="9">
        <f t="shared" si="2"/>
        <v>0.32296868296458237</v>
      </c>
    </row>
    <row r="22" spans="1:11" ht="12.75">
      <c r="A22" s="2"/>
      <c r="B22" s="2"/>
      <c r="C22" s="2"/>
      <c r="D22" s="6"/>
      <c r="E22" s="6"/>
      <c r="F22" s="6"/>
      <c r="G22" s="6"/>
      <c r="H22" s="6"/>
      <c r="I22" s="6"/>
      <c r="J22" s="6"/>
      <c r="K22" s="6"/>
    </row>
    <row r="23" spans="1:11" ht="12.75">
      <c r="A23" s="101" t="s">
        <v>76</v>
      </c>
      <c r="B23" s="101"/>
      <c r="D23" s="6"/>
      <c r="E23" s="6"/>
      <c r="F23" s="6"/>
      <c r="G23" s="6"/>
      <c r="H23" s="6"/>
      <c r="I23" s="6"/>
      <c r="J23" s="6"/>
      <c r="K23" s="6"/>
    </row>
    <row r="24" spans="1:11" ht="12.75">
      <c r="A24" t="s">
        <v>65</v>
      </c>
      <c r="D24" s="6">
        <f>ABS(D30-C30)</f>
        <v>4.1100909631552085</v>
      </c>
      <c r="E24" s="6">
        <f>ABS(E30-D30)</f>
        <v>4.228649835330916</v>
      </c>
      <c r="F24" s="6">
        <f>ABS(F30-E30)</f>
        <v>3.661259201513875</v>
      </c>
      <c r="G24" s="6">
        <f>ABS(G30-F30)</f>
        <v>0</v>
      </c>
      <c r="H24" s="6">
        <f>ABS(I30-H30)</f>
        <v>0</v>
      </c>
      <c r="I24" s="6">
        <f>ABS(J30-I30)</f>
        <v>0</v>
      </c>
      <c r="J24" s="6">
        <f>ABS(K30-J30)</f>
        <v>0</v>
      </c>
      <c r="K24" s="6">
        <f>ABS(L30-K30)</f>
        <v>0</v>
      </c>
    </row>
    <row r="25" spans="1:11" ht="12.75">
      <c r="A25" t="s">
        <v>66</v>
      </c>
      <c r="D25" s="6">
        <f aca="true" t="shared" si="3" ref="D25:J26">D13-D19</f>
        <v>2.1700000000000004</v>
      </c>
      <c r="E25" s="6">
        <f t="shared" si="3"/>
        <v>2.3653000000000004</v>
      </c>
      <c r="F25" s="6">
        <f t="shared" si="3"/>
        <v>2.5781770000000006</v>
      </c>
      <c r="G25" s="6">
        <f t="shared" si="3"/>
        <v>2.8102129300000005</v>
      </c>
      <c r="H25" s="6">
        <f t="shared" si="3"/>
        <v>3.0631320937000006</v>
      </c>
      <c r="I25" s="6">
        <f t="shared" si="3"/>
        <v>3.3388139821330007</v>
      </c>
      <c r="J25" s="6">
        <f t="shared" si="3"/>
        <v>3.6393072405249707</v>
      </c>
      <c r="K25" s="6"/>
    </row>
    <row r="26" spans="1:11" ht="12.75">
      <c r="A26" t="s">
        <v>68</v>
      </c>
      <c r="D26" s="9">
        <f t="shared" si="3"/>
        <v>1.2200000000000002</v>
      </c>
      <c r="E26" s="9">
        <f t="shared" si="3"/>
        <v>1.3664</v>
      </c>
      <c r="F26" s="9">
        <f t="shared" si="3"/>
        <v>1.5303680000000002</v>
      </c>
      <c r="G26" s="9">
        <f t="shared" si="3"/>
        <v>1.71401216</v>
      </c>
      <c r="H26" s="9">
        <f t="shared" si="3"/>
        <v>1.9196936192</v>
      </c>
      <c r="I26" s="9">
        <f t="shared" si="3"/>
        <v>2.150056853504</v>
      </c>
      <c r="J26" s="9">
        <f t="shared" si="3"/>
        <v>2.4080636759244802</v>
      </c>
      <c r="K26" s="9">
        <f>K14-K20</f>
        <v>2.6970313170354174</v>
      </c>
    </row>
    <row r="27" spans="1:11" ht="12.75">
      <c r="A27" s="83" t="s">
        <v>71</v>
      </c>
      <c r="B27" s="83"/>
      <c r="C27" s="83"/>
      <c r="D27" s="9">
        <f>SUM(D24:D26)</f>
        <v>7.500090963155209</v>
      </c>
      <c r="E27" s="9">
        <f aca="true" t="shared" si="4" ref="E27:K27">SUM(E24:E26)</f>
        <v>7.960349835330916</v>
      </c>
      <c r="F27" s="9">
        <f t="shared" si="4"/>
        <v>7.7698042015138755</v>
      </c>
      <c r="G27" s="9">
        <f t="shared" si="4"/>
        <v>4.524225090000001</v>
      </c>
      <c r="H27" s="9">
        <f t="shared" si="4"/>
        <v>4.9828257129</v>
      </c>
      <c r="I27" s="9">
        <f t="shared" si="4"/>
        <v>5.488870835637001</v>
      </c>
      <c r="J27" s="9">
        <f t="shared" si="4"/>
        <v>6.0473709164494505</v>
      </c>
      <c r="K27" s="9">
        <f t="shared" si="4"/>
        <v>2.6970313170354174</v>
      </c>
    </row>
    <row r="28" spans="1:11" ht="12.75">
      <c r="A28" s="2"/>
      <c r="B28" s="2"/>
      <c r="C28" s="2"/>
      <c r="D28" s="6"/>
      <c r="E28" s="6"/>
      <c r="F28" s="6"/>
      <c r="G28" s="6"/>
      <c r="H28" s="6"/>
      <c r="I28" s="6"/>
      <c r="J28" s="6"/>
      <c r="K28" s="6"/>
    </row>
    <row r="29" spans="1:11" ht="12.75">
      <c r="A29" s="101" t="s">
        <v>77</v>
      </c>
      <c r="B29" s="101"/>
      <c r="C29" s="10" t="s">
        <v>73</v>
      </c>
      <c r="D29" s="6"/>
      <c r="E29" s="6"/>
      <c r="F29" s="6"/>
      <c r="G29" s="6"/>
      <c r="H29" s="6"/>
      <c r="I29" s="6"/>
      <c r="J29" s="6"/>
      <c r="K29" s="6"/>
    </row>
    <row r="30" spans="1:11" ht="12.75">
      <c r="A30" t="s">
        <v>65</v>
      </c>
      <c r="C30" s="6">
        <v>12</v>
      </c>
      <c r="D30" s="6">
        <f>'Balance Sheet'!G32</f>
        <v>7.8899090368447915</v>
      </c>
      <c r="E30" s="6">
        <f>'Balance Sheet'!H32</f>
        <v>3.661259201513875</v>
      </c>
      <c r="F30" s="6">
        <f>'Balance Sheet'!I32</f>
        <v>0</v>
      </c>
      <c r="G30" s="6">
        <f>'Balance Sheet'!J32</f>
        <v>0</v>
      </c>
      <c r="H30" s="6">
        <f>'Balance Sheet'!K32</f>
        <v>0</v>
      </c>
      <c r="I30" s="6">
        <f>'Balance Sheet'!L32</f>
        <v>0</v>
      </c>
      <c r="J30" s="6">
        <f>'Balance Sheet'!M32</f>
        <v>0</v>
      </c>
      <c r="K30" s="6">
        <f>'Balance Sheet'!N32</f>
        <v>0</v>
      </c>
    </row>
    <row r="31" spans="1:11" ht="12.75">
      <c r="A31" s="83" t="s">
        <v>66</v>
      </c>
      <c r="B31" s="83"/>
      <c r="C31" s="6">
        <v>20</v>
      </c>
      <c r="D31" s="6">
        <f aca="true" t="shared" si="5" ref="D31:I32">C31-D25</f>
        <v>17.83</v>
      </c>
      <c r="E31" s="6">
        <f t="shared" si="5"/>
        <v>15.464699999999997</v>
      </c>
      <c r="F31" s="6">
        <f t="shared" si="5"/>
        <v>12.886522999999997</v>
      </c>
      <c r="G31" s="6">
        <f t="shared" si="5"/>
        <v>10.076310069999996</v>
      </c>
      <c r="H31" s="6">
        <f t="shared" si="5"/>
        <v>7.013177976299996</v>
      </c>
      <c r="I31" s="6">
        <f t="shared" si="5"/>
        <v>3.6743639941669954</v>
      </c>
      <c r="J31" s="6">
        <v>0</v>
      </c>
      <c r="K31" s="6"/>
    </row>
    <row r="32" spans="1:11" ht="12.75">
      <c r="A32" s="83" t="s">
        <v>68</v>
      </c>
      <c r="B32" s="83"/>
      <c r="C32" s="9">
        <v>15</v>
      </c>
      <c r="D32" s="9">
        <f t="shared" si="5"/>
        <v>13.78</v>
      </c>
      <c r="E32" s="9">
        <f t="shared" si="5"/>
        <v>12.413599999999999</v>
      </c>
      <c r="F32" s="9">
        <f t="shared" si="5"/>
        <v>10.883232</v>
      </c>
      <c r="G32" s="9">
        <f t="shared" si="5"/>
        <v>9.16921984</v>
      </c>
      <c r="H32" s="9">
        <f t="shared" si="5"/>
        <v>7.2495262208</v>
      </c>
      <c r="I32" s="9">
        <f t="shared" si="5"/>
        <v>5.099469367296</v>
      </c>
      <c r="J32" s="9">
        <f>I32-J26</f>
        <v>2.6914056913715196</v>
      </c>
      <c r="K32" s="9">
        <v>0</v>
      </c>
    </row>
    <row r="33" spans="1:11" ht="12.75">
      <c r="A33" s="83" t="s">
        <v>72</v>
      </c>
      <c r="B33" s="83"/>
      <c r="C33" s="9">
        <f>SUM(C30:C32)</f>
        <v>47</v>
      </c>
      <c r="D33" s="9">
        <f aca="true" t="shared" si="6" ref="D33:K33">SUM(D30:D32)</f>
        <v>39.49990903684479</v>
      </c>
      <c r="E33" s="9">
        <f t="shared" si="6"/>
        <v>31.53955920151387</v>
      </c>
      <c r="F33" s="9">
        <f t="shared" si="6"/>
        <v>23.769754999999996</v>
      </c>
      <c r="G33" s="9">
        <f t="shared" si="6"/>
        <v>19.245529909999995</v>
      </c>
      <c r="H33" s="9">
        <f t="shared" si="6"/>
        <v>14.262704197099996</v>
      </c>
      <c r="I33" s="9">
        <f t="shared" si="6"/>
        <v>8.773833361462994</v>
      </c>
      <c r="J33" s="9">
        <f t="shared" si="6"/>
        <v>2.6914056913715196</v>
      </c>
      <c r="K33" s="9">
        <f t="shared" si="6"/>
        <v>0</v>
      </c>
    </row>
    <row r="34" spans="1:11" ht="14.25">
      <c r="A34" s="17" t="s">
        <v>154</v>
      </c>
      <c r="B34" s="2"/>
      <c r="C34" s="4"/>
      <c r="D34" s="4"/>
      <c r="E34" s="4"/>
      <c r="F34" s="4"/>
      <c r="G34" s="4"/>
      <c r="H34" s="4"/>
      <c r="I34" s="4"/>
      <c r="J34" s="4"/>
      <c r="K34" s="4"/>
    </row>
    <row r="35" spans="1:11" ht="15.75">
      <c r="A35" s="104" t="s">
        <v>260</v>
      </c>
      <c r="B35" s="83"/>
      <c r="C35" s="83"/>
      <c r="D35" s="83"/>
      <c r="E35" s="83"/>
      <c r="F35" s="83"/>
      <c r="G35" s="83"/>
      <c r="H35" s="83"/>
      <c r="I35" s="83"/>
      <c r="J35" s="83"/>
      <c r="K35" s="83"/>
    </row>
    <row r="36" spans="1:11" ht="12.75">
      <c r="A36" s="83" t="s">
        <v>261</v>
      </c>
      <c r="B36" s="83"/>
      <c r="C36" s="83"/>
      <c r="D36" s="83"/>
      <c r="E36" s="83"/>
      <c r="F36" s="83"/>
      <c r="G36" s="83"/>
      <c r="H36" s="83"/>
      <c r="I36" s="83"/>
      <c r="J36" s="83"/>
      <c r="K36" s="83"/>
    </row>
    <row r="37" spans="1:11" ht="14.25">
      <c r="A37" s="107" t="s">
        <v>155</v>
      </c>
      <c r="B37" s="108"/>
      <c r="C37" s="108"/>
      <c r="D37" s="108"/>
      <c r="E37" s="108"/>
      <c r="F37" s="108"/>
      <c r="G37" s="108"/>
      <c r="H37" s="108"/>
      <c r="I37" s="108"/>
      <c r="J37" s="108"/>
      <c r="K37" s="108"/>
    </row>
  </sheetData>
  <mergeCells count="17">
    <mergeCell ref="E3:J3"/>
    <mergeCell ref="A5:B5"/>
    <mergeCell ref="A11:B11"/>
    <mergeCell ref="A17:B17"/>
    <mergeCell ref="A15:B15"/>
    <mergeCell ref="A13:B13"/>
    <mergeCell ref="A14:B14"/>
    <mergeCell ref="A35:K35"/>
    <mergeCell ref="A36:K36"/>
    <mergeCell ref="A37:K37"/>
    <mergeCell ref="A21:C21"/>
    <mergeCell ref="A27:C27"/>
    <mergeCell ref="A33:B33"/>
    <mergeCell ref="A23:B23"/>
    <mergeCell ref="A29:B29"/>
    <mergeCell ref="A31:B31"/>
    <mergeCell ref="A32:B32"/>
  </mergeCells>
  <printOptions/>
  <pageMargins left="0.75" right="0.25" top="0.5" bottom="0.5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46"/>
  <sheetViews>
    <sheetView workbookViewId="0" topLeftCell="A18">
      <selection activeCell="O8" sqref="O8"/>
    </sheetView>
  </sheetViews>
  <sheetFormatPr defaultColWidth="9.140625" defaultRowHeight="12.75"/>
  <cols>
    <col min="2" max="2" width="19.421875" style="0" customWidth="1"/>
  </cols>
  <sheetData>
    <row r="1" spans="4:10" ht="12.75">
      <c r="D1" s="3"/>
      <c r="E1" s="3" t="s">
        <v>250</v>
      </c>
      <c r="F1" s="3"/>
      <c r="G1" s="3"/>
      <c r="H1" s="3"/>
      <c r="I1" s="3"/>
      <c r="J1" s="3"/>
    </row>
    <row r="2" spans="3:12" ht="12.75">
      <c r="C2" s="86" t="s">
        <v>29</v>
      </c>
      <c r="D2" s="86"/>
      <c r="E2" s="86"/>
      <c r="F2" s="86" t="s">
        <v>160</v>
      </c>
      <c r="G2" s="86"/>
      <c r="H2" s="86"/>
      <c r="I2" s="86"/>
      <c r="J2" s="86"/>
      <c r="K2" s="86"/>
      <c r="L2" s="86"/>
    </row>
    <row r="3" spans="3:12" ht="12.75">
      <c r="C3">
        <v>2001</v>
      </c>
      <c r="D3">
        <v>2002</v>
      </c>
      <c r="E3">
        <v>2003</v>
      </c>
      <c r="F3">
        <v>2004</v>
      </c>
      <c r="G3">
        <v>2005</v>
      </c>
      <c r="H3">
        <v>2006</v>
      </c>
      <c r="I3">
        <v>2007</v>
      </c>
      <c r="J3">
        <v>2008</v>
      </c>
      <c r="K3">
        <v>2009</v>
      </c>
      <c r="L3">
        <v>2010</v>
      </c>
    </row>
    <row r="4" spans="1:12" ht="12.75">
      <c r="A4" t="s">
        <v>275</v>
      </c>
      <c r="C4" s="12">
        <f>'Cash Flow'!D44</f>
        <v>4.161343999999986</v>
      </c>
      <c r="D4" s="12">
        <f>'Cash Flow'!E44</f>
        <v>0.2149883520000042</v>
      </c>
      <c r="E4" s="12">
        <f>'Cash Flow'!F44</f>
        <v>0.09912753945599917</v>
      </c>
      <c r="F4" s="12">
        <f>'Cash Flow'!G44</f>
        <v>9.54467857531681</v>
      </c>
      <c r="G4" s="12">
        <f>'Cash Flow'!H44</f>
        <v>9.579958371608527</v>
      </c>
      <c r="H4" s="12">
        <f>'Cash Flow'!I44</f>
        <v>10.770276927666867</v>
      </c>
      <c r="I4" s="12">
        <f>'Cash Flow'!J44</f>
        <v>12.951576982180885</v>
      </c>
      <c r="J4" s="12">
        <f>'Cash Flow'!K44</f>
        <v>13.442010045149054</v>
      </c>
      <c r="K4" s="12">
        <f>'Cash Flow'!L44</f>
        <v>14.168874090312052</v>
      </c>
      <c r="L4" s="12">
        <f>'Cash Flow'!M44</f>
        <v>14.934383603017867</v>
      </c>
    </row>
    <row r="5" spans="1:12" ht="12.75">
      <c r="A5" t="s">
        <v>271</v>
      </c>
      <c r="C5" s="12">
        <f>'Cash Flow'!D43</f>
        <v>4.161343999999986</v>
      </c>
      <c r="D5" s="12">
        <f>'Cash Flow'!E43</f>
        <v>0.2149883520000042</v>
      </c>
      <c r="E5" s="12">
        <f>'Cash Flow'!F43</f>
        <v>0.09912753945599917</v>
      </c>
      <c r="F5" s="12">
        <f>'Cash Flow'!G43</f>
        <v>0.3205508868351892</v>
      </c>
      <c r="G5" s="12">
        <f>'Cash Flow'!H43</f>
        <v>0.18448320502310978</v>
      </c>
      <c r="H5" s="12">
        <f>'Cash Flow'!I43</f>
        <v>1.8478907261529924</v>
      </c>
      <c r="I5" s="12">
        <f>'Cash Flow'!J43</f>
        <v>7.441041928180885</v>
      </c>
      <c r="J5" s="12">
        <f>'Cash Flow'!K43</f>
        <v>7.656314617409054</v>
      </c>
      <c r="K5" s="12">
        <f>'Cash Flow'!L43</f>
        <v>8.079551588929851</v>
      </c>
      <c r="L5" s="12">
        <f>'Cash Flow'!M43</f>
        <v>8.509961053148196</v>
      </c>
    </row>
    <row r="7" spans="1:12" ht="12.75">
      <c r="A7" s="53" t="s">
        <v>159</v>
      </c>
      <c r="B7" s="49"/>
      <c r="C7" s="49"/>
      <c r="D7" s="49"/>
      <c r="E7" s="49"/>
      <c r="F7" s="49"/>
      <c r="G7" s="49"/>
      <c r="H7" s="49" t="s">
        <v>165</v>
      </c>
      <c r="I7" s="49" t="s">
        <v>150</v>
      </c>
      <c r="J7" s="49" t="s">
        <v>151</v>
      </c>
      <c r="K7" s="49" t="s">
        <v>152</v>
      </c>
      <c r="L7" s="50"/>
    </row>
    <row r="8" spans="1:12" ht="14.25">
      <c r="A8" s="18"/>
      <c r="B8" s="85" t="s">
        <v>230</v>
      </c>
      <c r="C8" s="85"/>
      <c r="D8" s="85"/>
      <c r="E8" s="83"/>
      <c r="F8" s="19"/>
      <c r="G8" s="19"/>
      <c r="H8" s="19">
        <v>8</v>
      </c>
      <c r="I8" s="56">
        <f>8*I5</f>
        <v>59.52833542544708</v>
      </c>
      <c r="J8" s="56">
        <f>8*J5</f>
        <v>61.25051693927243</v>
      </c>
      <c r="K8" s="56">
        <f>8*K5</f>
        <v>64.63641271143881</v>
      </c>
      <c r="L8" s="20"/>
    </row>
    <row r="9" spans="1:12" ht="12.75">
      <c r="A9" s="18"/>
      <c r="B9" s="19"/>
      <c r="C9" s="19"/>
      <c r="D9" s="19"/>
      <c r="E9" s="19"/>
      <c r="F9" s="19"/>
      <c r="G9" s="19"/>
      <c r="H9" s="19">
        <v>9</v>
      </c>
      <c r="I9" s="56">
        <f>9*I5</f>
        <v>66.96937735362796</v>
      </c>
      <c r="J9" s="56">
        <f>9*J5</f>
        <v>68.90683155668148</v>
      </c>
      <c r="K9" s="56">
        <f>9*K5</f>
        <v>72.71596430036865</v>
      </c>
      <c r="L9" s="20"/>
    </row>
    <row r="10" spans="1:12" ht="12.75">
      <c r="A10" s="18"/>
      <c r="B10" s="19"/>
      <c r="C10" s="19"/>
      <c r="D10" s="19"/>
      <c r="E10" s="19"/>
      <c r="F10" s="19"/>
      <c r="G10" s="19"/>
      <c r="H10" s="19">
        <v>10</v>
      </c>
      <c r="I10" s="56">
        <f>10*I5</f>
        <v>74.41041928180886</v>
      </c>
      <c r="J10" s="56">
        <f>10*J5</f>
        <v>76.56314617409053</v>
      </c>
      <c r="K10" s="56">
        <f>10*K5</f>
        <v>80.79551588929851</v>
      </c>
      <c r="L10" s="20"/>
    </row>
    <row r="11" spans="1:12" ht="12.75">
      <c r="A11" s="18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20"/>
    </row>
    <row r="12" spans="1:12" ht="12.75">
      <c r="A12" s="84" t="s">
        <v>262</v>
      </c>
      <c r="B12" s="85"/>
      <c r="C12" s="19">
        <v>-25</v>
      </c>
      <c r="D12" s="19"/>
      <c r="E12" s="19"/>
      <c r="F12" s="19"/>
      <c r="G12" s="19"/>
      <c r="H12" s="19"/>
      <c r="I12" s="19"/>
      <c r="J12" s="19"/>
      <c r="K12" s="19"/>
      <c r="L12" s="20"/>
    </row>
    <row r="13" spans="1:12" ht="12.75">
      <c r="A13" s="84" t="s">
        <v>167</v>
      </c>
      <c r="B13" s="85"/>
      <c r="C13" s="19"/>
      <c r="D13" s="19"/>
      <c r="E13" s="19"/>
      <c r="F13" s="94" t="s">
        <v>172</v>
      </c>
      <c r="G13" s="94"/>
      <c r="H13" s="94"/>
      <c r="I13" s="94"/>
      <c r="J13" s="94"/>
      <c r="K13" s="94"/>
      <c r="L13" s="20"/>
    </row>
    <row r="14" spans="1:12" ht="12.75">
      <c r="A14" s="84" t="s">
        <v>162</v>
      </c>
      <c r="B14" s="85"/>
      <c r="C14" s="57">
        <f>IRR(F14:I14)</f>
        <v>0.41522604232177596</v>
      </c>
      <c r="D14" s="19"/>
      <c r="E14" s="19"/>
      <c r="F14" s="21">
        <f>C12+F5</f>
        <v>-24.67944911316481</v>
      </c>
      <c r="G14" s="21">
        <f>G5</f>
        <v>0.18448320502310978</v>
      </c>
      <c r="H14" s="21">
        <f>H5</f>
        <v>1.8478907261529924</v>
      </c>
      <c r="I14" s="56">
        <f>I5+I8</f>
        <v>66.96937735362796</v>
      </c>
      <c r="J14" s="19"/>
      <c r="K14" s="19"/>
      <c r="L14" s="20"/>
    </row>
    <row r="15" spans="1:12" ht="12.75">
      <c r="A15" s="84" t="s">
        <v>164</v>
      </c>
      <c r="B15" s="85"/>
      <c r="C15" s="57">
        <f>IRR(F15:J15)</f>
        <v>0.3534768249849647</v>
      </c>
      <c r="D15" s="19"/>
      <c r="E15" s="19"/>
      <c r="F15" s="21">
        <f>C12+F5</f>
        <v>-24.67944911316481</v>
      </c>
      <c r="G15" s="21">
        <f>G5</f>
        <v>0.18448320502310978</v>
      </c>
      <c r="H15" s="21">
        <f>H5</f>
        <v>1.8478907261529924</v>
      </c>
      <c r="I15" s="21">
        <f>I5</f>
        <v>7.441041928180885</v>
      </c>
      <c r="J15" s="56">
        <f>J8+J5</f>
        <v>68.90683155668148</v>
      </c>
      <c r="K15" s="19"/>
      <c r="L15" s="20"/>
    </row>
    <row r="16" spans="1:12" ht="12.75">
      <c r="A16" s="84" t="s">
        <v>163</v>
      </c>
      <c r="B16" s="85"/>
      <c r="C16" s="57">
        <f>IRR(F16:K16)</f>
        <v>0.3250059994842577</v>
      </c>
      <c r="D16" s="19"/>
      <c r="E16" s="19"/>
      <c r="F16" s="21">
        <f>C12+F5</f>
        <v>-24.67944911316481</v>
      </c>
      <c r="G16" s="21">
        <f>G5</f>
        <v>0.18448320502310978</v>
      </c>
      <c r="H16" s="21">
        <f>H5</f>
        <v>1.8478907261529924</v>
      </c>
      <c r="I16" s="21">
        <f>I5</f>
        <v>7.441041928180885</v>
      </c>
      <c r="J16" s="21">
        <f>J5</f>
        <v>7.656314617409054</v>
      </c>
      <c r="K16" s="56">
        <f>K8+K5</f>
        <v>72.71596430036865</v>
      </c>
      <c r="L16" s="20"/>
    </row>
    <row r="17" spans="1:12" ht="12.75">
      <c r="A17" s="18" t="s">
        <v>173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20"/>
    </row>
    <row r="18" spans="1:12" ht="12.75">
      <c r="A18" s="18" t="s">
        <v>162</v>
      </c>
      <c r="B18" s="19"/>
      <c r="C18" s="57">
        <f>IRR(F18:I18)</f>
        <v>0.46446255565548655</v>
      </c>
      <c r="D18" s="19"/>
      <c r="E18" s="19"/>
      <c r="F18" s="21">
        <f>C12+F5</f>
        <v>-24.67944911316481</v>
      </c>
      <c r="G18" s="21">
        <f>G5</f>
        <v>0.18448320502310978</v>
      </c>
      <c r="H18" s="21">
        <f>H5</f>
        <v>1.8478907261529924</v>
      </c>
      <c r="I18" s="21">
        <f>I9+I5</f>
        <v>74.41041928180884</v>
      </c>
      <c r="J18" s="19"/>
      <c r="K18" s="19"/>
      <c r="L18" s="20"/>
    </row>
    <row r="19" spans="1:12" ht="12.75">
      <c r="A19" s="84" t="s">
        <v>164</v>
      </c>
      <c r="B19" s="85"/>
      <c r="C19" s="57">
        <f>IRR(F19:J19)</f>
        <v>0.3853762771986416</v>
      </c>
      <c r="D19" s="19"/>
      <c r="E19" s="19"/>
      <c r="F19" s="21">
        <f>C12+F5</f>
        <v>-24.67944911316481</v>
      </c>
      <c r="G19" s="21">
        <f>G5</f>
        <v>0.18448320502310978</v>
      </c>
      <c r="H19" s="21">
        <f>H5</f>
        <v>1.8478907261529924</v>
      </c>
      <c r="I19" s="21">
        <f>I5</f>
        <v>7.441041928180885</v>
      </c>
      <c r="J19" s="56">
        <f>J9+J5</f>
        <v>76.56314617409053</v>
      </c>
      <c r="K19" s="19"/>
      <c r="L19" s="20"/>
    </row>
    <row r="20" spans="1:12" ht="12.75">
      <c r="A20" s="84" t="s">
        <v>163</v>
      </c>
      <c r="B20" s="85"/>
      <c r="C20" s="57">
        <f>IRR(F20:K20)</f>
        <v>0.3478005867252045</v>
      </c>
      <c r="D20" s="19"/>
      <c r="E20" s="19"/>
      <c r="F20" s="21">
        <f>C12+F5</f>
        <v>-24.67944911316481</v>
      </c>
      <c r="G20" s="21">
        <f>G5</f>
        <v>0.18448320502310978</v>
      </c>
      <c r="H20" s="21">
        <f>H5</f>
        <v>1.8478907261529924</v>
      </c>
      <c r="I20" s="21">
        <f>I5</f>
        <v>7.441041928180885</v>
      </c>
      <c r="J20" s="21">
        <f>J5</f>
        <v>7.656314617409054</v>
      </c>
      <c r="K20" s="56">
        <f>K9+K5</f>
        <v>80.7955158892985</v>
      </c>
      <c r="L20" s="20"/>
    </row>
    <row r="21" spans="1:12" ht="12.75">
      <c r="A21" s="84" t="s">
        <v>174</v>
      </c>
      <c r="B21" s="85"/>
      <c r="C21" s="19"/>
      <c r="D21" s="19"/>
      <c r="E21" s="19"/>
      <c r="F21" s="19"/>
      <c r="G21" s="19"/>
      <c r="H21" s="19"/>
      <c r="I21" s="19"/>
      <c r="J21" s="19"/>
      <c r="K21" s="19"/>
      <c r="L21" s="20"/>
    </row>
    <row r="22" spans="1:12" ht="12.75">
      <c r="A22" s="109" t="s">
        <v>162</v>
      </c>
      <c r="B22" s="110"/>
      <c r="C22" s="57">
        <f>IRR(F22:I22)</f>
        <v>0.5105543426703228</v>
      </c>
      <c r="D22" s="19"/>
      <c r="E22" s="19"/>
      <c r="F22" s="21">
        <f>C12+F5</f>
        <v>-24.67944911316481</v>
      </c>
      <c r="G22" s="21">
        <f>G5</f>
        <v>0.18448320502310978</v>
      </c>
      <c r="H22" s="21">
        <f>H5</f>
        <v>1.8478907261529924</v>
      </c>
      <c r="I22" s="56">
        <f>I5+I10</f>
        <v>81.85146120998974</v>
      </c>
      <c r="J22" s="19"/>
      <c r="K22" s="19"/>
      <c r="L22" s="20"/>
    </row>
    <row r="23" spans="1:12" ht="12.75">
      <c r="A23" s="84" t="s">
        <v>164</v>
      </c>
      <c r="B23" s="85"/>
      <c r="C23" s="57">
        <f>IRR(F23:J23)</f>
        <v>0.4151260834276226</v>
      </c>
      <c r="D23" s="19"/>
      <c r="E23" s="19"/>
      <c r="F23" s="21">
        <f>C12+F5</f>
        <v>-24.67944911316481</v>
      </c>
      <c r="G23" s="21">
        <f>G5</f>
        <v>0.18448320502310978</v>
      </c>
      <c r="H23" s="21">
        <f>H5</f>
        <v>1.8478907261529924</v>
      </c>
      <c r="I23" s="21">
        <f>I5</f>
        <v>7.441041928180885</v>
      </c>
      <c r="J23" s="56">
        <f>J5+J10</f>
        <v>84.21946079149959</v>
      </c>
      <c r="K23" s="19"/>
      <c r="L23" s="20"/>
    </row>
    <row r="24" spans="1:12" ht="12.75">
      <c r="A24" s="100" t="s">
        <v>163</v>
      </c>
      <c r="B24" s="101"/>
      <c r="C24" s="58">
        <f>IRR(F24:K24)</f>
        <v>0.3690463821418887</v>
      </c>
      <c r="D24" s="7"/>
      <c r="E24" s="7"/>
      <c r="F24" s="27">
        <f>F5+C12</f>
        <v>-24.67944911316481</v>
      </c>
      <c r="G24" s="27">
        <f>G5</f>
        <v>0.18448320502310978</v>
      </c>
      <c r="H24" s="27">
        <f>H5</f>
        <v>1.8478907261529924</v>
      </c>
      <c r="I24" s="27">
        <f>I5</f>
        <v>7.441041928180885</v>
      </c>
      <c r="J24" s="27">
        <f>J5</f>
        <v>7.656314617409054</v>
      </c>
      <c r="K24" s="59">
        <f>K5+K10</f>
        <v>88.87506747822836</v>
      </c>
      <c r="L24" s="28"/>
    </row>
    <row r="26" spans="1:12" ht="12.75">
      <c r="A26" s="96" t="s">
        <v>159</v>
      </c>
      <c r="B26" s="97"/>
      <c r="C26" s="97"/>
      <c r="D26" s="97"/>
      <c r="E26" s="97"/>
      <c r="F26" s="49"/>
      <c r="G26" s="49"/>
      <c r="H26" s="49" t="s">
        <v>165</v>
      </c>
      <c r="I26" s="49" t="s">
        <v>150</v>
      </c>
      <c r="J26" s="49" t="s">
        <v>151</v>
      </c>
      <c r="K26" s="49" t="s">
        <v>152</v>
      </c>
      <c r="L26" s="50"/>
    </row>
    <row r="27" spans="1:12" ht="12.75">
      <c r="A27" s="18"/>
      <c r="B27" s="19" t="s">
        <v>161</v>
      </c>
      <c r="C27" s="19"/>
      <c r="D27" s="19"/>
      <c r="E27" s="19"/>
      <c r="F27" s="19"/>
      <c r="G27" s="19"/>
      <c r="H27" s="19">
        <v>4</v>
      </c>
      <c r="I27" s="56">
        <f>4*I4</f>
        <v>51.80630792872354</v>
      </c>
      <c r="J27" s="56">
        <f>4*J4</f>
        <v>53.768040180596216</v>
      </c>
      <c r="K27" s="56">
        <f>4*K4</f>
        <v>56.67549636124821</v>
      </c>
      <c r="L27" s="20"/>
    </row>
    <row r="28" spans="1:12" ht="12.75">
      <c r="A28" s="18"/>
      <c r="B28" s="19"/>
      <c r="C28" s="19"/>
      <c r="D28" s="19"/>
      <c r="E28" s="19"/>
      <c r="F28" s="19"/>
      <c r="G28" s="19"/>
      <c r="H28" s="19">
        <v>5</v>
      </c>
      <c r="I28" s="56">
        <f>5*I4</f>
        <v>64.75788491090442</v>
      </c>
      <c r="J28" s="56">
        <f>5*J4</f>
        <v>67.21005022574528</v>
      </c>
      <c r="K28" s="56">
        <f>5*K4</f>
        <v>70.84437045156025</v>
      </c>
      <c r="L28" s="20"/>
    </row>
    <row r="29" spans="1:12" ht="12.75">
      <c r="A29" s="18"/>
      <c r="B29" s="19"/>
      <c r="C29" s="19"/>
      <c r="D29" s="19"/>
      <c r="E29" s="19"/>
      <c r="F29" s="19"/>
      <c r="G29" s="19"/>
      <c r="H29" s="19">
        <v>6</v>
      </c>
      <c r="I29" s="56">
        <f>6*I4</f>
        <v>77.70946189308532</v>
      </c>
      <c r="J29" s="56">
        <f>6*J4</f>
        <v>80.65206027089432</v>
      </c>
      <c r="K29" s="56">
        <f>6*K4</f>
        <v>85.01324454187231</v>
      </c>
      <c r="L29" s="20"/>
    </row>
    <row r="30" spans="1:12" ht="12.75">
      <c r="A30" s="18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20"/>
    </row>
    <row r="31" spans="1:12" ht="12.75">
      <c r="A31" s="18" t="s">
        <v>177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20"/>
    </row>
    <row r="32" spans="1:12" ht="12.75">
      <c r="A32" s="18" t="s">
        <v>162</v>
      </c>
      <c r="B32" s="19"/>
      <c r="C32" s="57">
        <f>IRR(F32:I32)</f>
        <v>0.9070010924237474</v>
      </c>
      <c r="D32" s="19"/>
      <c r="E32" s="19"/>
      <c r="F32" s="21">
        <f>C12+F4</f>
        <v>-15.45532142468319</v>
      </c>
      <c r="G32" s="21">
        <f>G4</f>
        <v>9.579958371608527</v>
      </c>
      <c r="H32" s="21">
        <f>H4</f>
        <v>10.770276927666867</v>
      </c>
      <c r="I32" s="56">
        <f>I27</f>
        <v>51.80630792872354</v>
      </c>
      <c r="J32" s="19"/>
      <c r="K32" s="19"/>
      <c r="L32" s="20"/>
    </row>
    <row r="33" spans="1:12" ht="12.75">
      <c r="A33" s="18" t="s">
        <v>164</v>
      </c>
      <c r="B33" s="19"/>
      <c r="C33" s="57">
        <f>IRR(F33:J33)</f>
        <v>0.825264635836295</v>
      </c>
      <c r="D33" s="19"/>
      <c r="E33" s="19"/>
      <c r="F33" s="21">
        <f>C12+F4</f>
        <v>-15.45532142468319</v>
      </c>
      <c r="G33" s="21">
        <f>G4</f>
        <v>9.579958371608527</v>
      </c>
      <c r="H33" s="21">
        <f>H4</f>
        <v>10.770276927666867</v>
      </c>
      <c r="I33" s="21">
        <f>I4</f>
        <v>12.951576982180885</v>
      </c>
      <c r="J33" s="56">
        <f>J27</f>
        <v>53.768040180596216</v>
      </c>
      <c r="K33" s="19"/>
      <c r="L33" s="20"/>
    </row>
    <row r="34" spans="1:12" ht="12.75">
      <c r="A34" s="18" t="s">
        <v>163</v>
      </c>
      <c r="B34" s="19"/>
      <c r="C34" s="57">
        <f>IRR(F34:K34)</f>
        <v>0.7859282406928825</v>
      </c>
      <c r="D34" s="19"/>
      <c r="E34" s="19"/>
      <c r="F34" s="21">
        <f>C12+F4</f>
        <v>-15.45532142468319</v>
      </c>
      <c r="G34" s="21">
        <f>G4</f>
        <v>9.579958371608527</v>
      </c>
      <c r="H34" s="21">
        <f>H4</f>
        <v>10.770276927666867</v>
      </c>
      <c r="I34" s="21">
        <f>I4</f>
        <v>12.951576982180885</v>
      </c>
      <c r="J34" s="21">
        <f>J4</f>
        <v>13.442010045149054</v>
      </c>
      <c r="K34" s="56">
        <f>K27</f>
        <v>56.67549636124821</v>
      </c>
      <c r="L34" s="20"/>
    </row>
    <row r="35" spans="1:12" ht="12.75">
      <c r="A35" s="18" t="s">
        <v>176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20"/>
    </row>
    <row r="36" spans="1:12" ht="12.75">
      <c r="A36" s="18" t="s">
        <v>162</v>
      </c>
      <c r="B36" s="19"/>
      <c r="C36" s="57">
        <f>IRR(F36:I36)</f>
        <v>1.0071236264853876</v>
      </c>
      <c r="D36" s="19"/>
      <c r="E36" s="19"/>
      <c r="F36" s="21">
        <f>C12+F4</f>
        <v>-15.45532142468319</v>
      </c>
      <c r="G36" s="21">
        <f>G4</f>
        <v>9.579958371608527</v>
      </c>
      <c r="H36" s="21">
        <f>H4</f>
        <v>10.770276927666867</v>
      </c>
      <c r="I36" s="21">
        <f>I28</f>
        <v>64.75788491090442</v>
      </c>
      <c r="J36" s="19"/>
      <c r="K36" s="19"/>
      <c r="L36" s="20"/>
    </row>
    <row r="37" spans="1:12" ht="12.75">
      <c r="A37" s="18" t="s">
        <v>164</v>
      </c>
      <c r="B37" s="19"/>
      <c r="C37" s="57">
        <f>IRR(F37:J37)</f>
        <v>0.8808342390521648</v>
      </c>
      <c r="D37" s="19"/>
      <c r="E37" s="19"/>
      <c r="F37" s="21">
        <f>C12+F4</f>
        <v>-15.45532142468319</v>
      </c>
      <c r="G37" s="21">
        <f>G4</f>
        <v>9.579958371608527</v>
      </c>
      <c r="H37" s="21">
        <f>H4</f>
        <v>10.770276927666867</v>
      </c>
      <c r="I37" s="21">
        <f>I4</f>
        <v>12.951576982180885</v>
      </c>
      <c r="J37" s="56">
        <f>J28</f>
        <v>67.21005022574528</v>
      </c>
      <c r="K37" s="19"/>
      <c r="L37" s="20"/>
    </row>
    <row r="38" spans="1:12" ht="12.75">
      <c r="A38" s="18" t="s">
        <v>163</v>
      </c>
      <c r="B38" s="19"/>
      <c r="C38" s="57">
        <f>IRR(F38:K38)</f>
        <v>0.8191585860939296</v>
      </c>
      <c r="D38" s="19"/>
      <c r="E38" s="19"/>
      <c r="F38" s="21">
        <f>C12+F4</f>
        <v>-15.45532142468319</v>
      </c>
      <c r="G38" s="21">
        <f>G4</f>
        <v>9.579958371608527</v>
      </c>
      <c r="H38" s="21">
        <f>H4</f>
        <v>10.770276927666867</v>
      </c>
      <c r="I38" s="21">
        <f>I4</f>
        <v>12.951576982180885</v>
      </c>
      <c r="J38" s="21">
        <f>J4</f>
        <v>13.442010045149054</v>
      </c>
      <c r="K38" s="56">
        <f>K28</f>
        <v>70.84437045156025</v>
      </c>
      <c r="L38" s="20"/>
    </row>
    <row r="39" spans="1:12" ht="12.75">
      <c r="A39" s="18" t="s">
        <v>166</v>
      </c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20"/>
    </row>
    <row r="40" spans="1:12" ht="12.75">
      <c r="A40" s="18" t="s">
        <v>162</v>
      </c>
      <c r="B40" s="19"/>
      <c r="C40" s="57">
        <f>IRR(F40:I40)</f>
        <v>1.0963625421869947</v>
      </c>
      <c r="D40" s="19"/>
      <c r="E40" s="19"/>
      <c r="F40" s="21">
        <f>C12+F4</f>
        <v>-15.45532142468319</v>
      </c>
      <c r="G40" s="21">
        <f>G4</f>
        <v>9.579958371608527</v>
      </c>
      <c r="H40" s="21">
        <f>H4</f>
        <v>10.770276927666867</v>
      </c>
      <c r="I40" s="56">
        <f>I29</f>
        <v>77.70946189308532</v>
      </c>
      <c r="J40" s="19"/>
      <c r="K40" s="19"/>
      <c r="L40" s="20"/>
    </row>
    <row r="41" spans="1:12" ht="12.75">
      <c r="A41" s="18" t="s">
        <v>164</v>
      </c>
      <c r="B41" s="19"/>
      <c r="C41" s="57">
        <f>IRR(F41:J41)</f>
        <v>0.930695787898493</v>
      </c>
      <c r="D41" s="19"/>
      <c r="E41" s="19"/>
      <c r="F41" s="21">
        <f>C12+F4</f>
        <v>-15.45532142468319</v>
      </c>
      <c r="G41" s="21">
        <f>G4</f>
        <v>9.579958371608527</v>
      </c>
      <c r="H41" s="21">
        <f>H4</f>
        <v>10.770276927666867</v>
      </c>
      <c r="I41" s="21">
        <f>I4</f>
        <v>12.951576982180885</v>
      </c>
      <c r="J41" s="21">
        <f>J29</f>
        <v>80.65206027089432</v>
      </c>
      <c r="K41" s="19"/>
      <c r="L41" s="20"/>
    </row>
    <row r="42" spans="1:12" ht="12.75">
      <c r="A42" s="24" t="s">
        <v>163</v>
      </c>
      <c r="B42" s="7"/>
      <c r="C42" s="58">
        <f>IRR(F42:K42)</f>
        <v>0.8493867143665302</v>
      </c>
      <c r="D42" s="7"/>
      <c r="E42" s="7"/>
      <c r="F42" s="27">
        <f>C12+F4</f>
        <v>-15.45532142468319</v>
      </c>
      <c r="G42" s="27">
        <f>G4</f>
        <v>9.579958371608527</v>
      </c>
      <c r="H42" s="27">
        <f>H4</f>
        <v>10.770276927666867</v>
      </c>
      <c r="I42" s="27">
        <f>I4</f>
        <v>12.951576982180885</v>
      </c>
      <c r="J42" s="27">
        <f>J4</f>
        <v>13.442010045149054</v>
      </c>
      <c r="K42" s="59">
        <f>K29</f>
        <v>85.01324454187231</v>
      </c>
      <c r="L42" s="28"/>
    </row>
    <row r="44" spans="1:13" ht="14.25">
      <c r="A44" s="104" t="s">
        <v>263</v>
      </c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</row>
    <row r="45" spans="1:12" ht="12.75">
      <c r="A45" s="83" t="s">
        <v>264</v>
      </c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</row>
    <row r="46" spans="1:12" ht="12.75">
      <c r="A46" s="83" t="s">
        <v>265</v>
      </c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</row>
  </sheetData>
  <mergeCells count="19">
    <mergeCell ref="A45:L45"/>
    <mergeCell ref="A46:L46"/>
    <mergeCell ref="A16:B16"/>
    <mergeCell ref="A24:B24"/>
    <mergeCell ref="A21:B21"/>
    <mergeCell ref="A19:B19"/>
    <mergeCell ref="A20:B20"/>
    <mergeCell ref="A22:B22"/>
    <mergeCell ref="A23:B23"/>
    <mergeCell ref="B8:E8"/>
    <mergeCell ref="A44:M44"/>
    <mergeCell ref="A26:E26"/>
    <mergeCell ref="F2:L2"/>
    <mergeCell ref="C2:E2"/>
    <mergeCell ref="A13:B13"/>
    <mergeCell ref="A14:B14"/>
    <mergeCell ref="F13:K13"/>
    <mergeCell ref="A15:B15"/>
    <mergeCell ref="A12:B12"/>
  </mergeCells>
  <printOptions/>
  <pageMargins left="0.5" right="0.25" top="0.25" bottom="0.25" header="0.5" footer="0.5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47"/>
  <sheetViews>
    <sheetView tabSelected="1" workbookViewId="0" topLeftCell="A1">
      <selection activeCell="M19" sqref="M19"/>
    </sheetView>
  </sheetViews>
  <sheetFormatPr defaultColWidth="9.140625" defaultRowHeight="12.75"/>
  <cols>
    <col min="1" max="1" width="38.00390625" style="0" customWidth="1"/>
    <col min="2" max="4" width="11.421875" style="0" customWidth="1"/>
    <col min="5" max="5" width="12.28125" style="0" customWidth="1"/>
    <col min="6" max="14" width="11.421875" style="0" customWidth="1"/>
  </cols>
  <sheetData>
    <row r="1" spans="1:8" ht="12.75">
      <c r="A1" s="86" t="s">
        <v>267</v>
      </c>
      <c r="B1" s="81"/>
      <c r="C1" s="81"/>
      <c r="D1" s="81"/>
      <c r="E1" s="81"/>
      <c r="F1" s="81"/>
      <c r="G1" s="81"/>
      <c r="H1" s="81"/>
    </row>
    <row r="3" spans="1:8" ht="12.75">
      <c r="A3" s="53">
        <v>2003</v>
      </c>
      <c r="B3" s="49">
        <v>2004</v>
      </c>
      <c r="C3" s="49">
        <v>2005</v>
      </c>
      <c r="D3" s="49">
        <v>2006</v>
      </c>
      <c r="E3" s="49">
        <v>2007</v>
      </c>
      <c r="F3" s="49">
        <v>2008</v>
      </c>
      <c r="G3" s="49">
        <v>2009</v>
      </c>
      <c r="H3" s="50">
        <v>2010</v>
      </c>
    </row>
    <row r="4" spans="1:8" ht="12.75">
      <c r="A4" s="18" t="s">
        <v>266</v>
      </c>
      <c r="B4" s="19"/>
      <c r="C4" s="19"/>
      <c r="D4" s="19"/>
      <c r="E4" s="19"/>
      <c r="F4" s="19"/>
      <c r="G4" s="19"/>
      <c r="H4" s="20"/>
    </row>
    <row r="5" spans="1:8" ht="12.75">
      <c r="A5" s="18" t="s">
        <v>244</v>
      </c>
      <c r="B5" s="14">
        <f>'Balance Sheet'!G37</f>
        <v>24.64</v>
      </c>
      <c r="C5" s="14">
        <f>'Balance Sheet'!H37</f>
        <v>27.5968</v>
      </c>
      <c r="D5" s="14">
        <f>'Balance Sheet'!I37</f>
        <v>30.908416000000006</v>
      </c>
      <c r="E5" s="14">
        <f>'Balance Sheet'!J37</f>
        <v>34.61742592000001</v>
      </c>
      <c r="F5" s="14">
        <f>'Balance Sheet'!K37</f>
        <v>38.77151703040001</v>
      </c>
      <c r="G5" s="14">
        <f>'Balance Sheet'!L37</f>
        <v>43.424099074048016</v>
      </c>
      <c r="H5" s="39">
        <f>'Balance Sheet'!M37</f>
        <v>48.634990962933784</v>
      </c>
    </row>
    <row r="6" spans="1:8" ht="12.75">
      <c r="A6" s="18" t="s">
        <v>249</v>
      </c>
      <c r="B6" s="14">
        <f>'Balance Sheet'!F38*('Income Statement'!G28/'Income Statement'!F28)</f>
        <v>2.3464322326516722</v>
      </c>
      <c r="C6" s="14">
        <f>B6*('Income Statement'!H28/'Income Statement'!G28)</f>
        <v>3.260812926035358</v>
      </c>
      <c r="D6" s="14">
        <f>C6*('Income Statement'!I28/'Income Statement'!H28)</f>
        <v>3.9785705097229824</v>
      </c>
      <c r="E6" s="14">
        <f>D6*('Income Statement'!J28/'Income Statement'!I28)</f>
        <v>5.01720355332598</v>
      </c>
      <c r="F6" s="14">
        <f>E6*('Income Statement'!K28/'Income Statement'!J28)</f>
        <v>5.436263449211193</v>
      </c>
      <c r="G6" s="14">
        <f>F6*('Income Statement'!L28/'Income Statement'!K28)</f>
        <v>5.705816356135286</v>
      </c>
      <c r="H6" s="39">
        <f>G6*('Income Statement'!M28/'Income Statement'!L28)</f>
        <v>5.977535057035948</v>
      </c>
    </row>
    <row r="7" spans="1:9" ht="14.25">
      <c r="A7" s="18" t="s">
        <v>245</v>
      </c>
      <c r="B7" s="21">
        <f>B5+B6</f>
        <v>26.986432232651673</v>
      </c>
      <c r="C7" s="21">
        <f aca="true" t="shared" si="0" ref="C7:H7">C5+C6</f>
        <v>30.857612926035358</v>
      </c>
      <c r="D7" s="21">
        <f t="shared" si="0"/>
        <v>34.88698650972299</v>
      </c>
      <c r="E7" s="21">
        <f t="shared" si="0"/>
        <v>39.63462947332599</v>
      </c>
      <c r="F7" s="21">
        <f t="shared" si="0"/>
        <v>44.2077804796112</v>
      </c>
      <c r="G7" s="21">
        <f t="shared" si="0"/>
        <v>49.1299154301833</v>
      </c>
      <c r="H7" s="23">
        <f t="shared" si="0"/>
        <v>54.612526019969735</v>
      </c>
      <c r="I7" s="5"/>
    </row>
    <row r="8" spans="1:9" ht="12.75">
      <c r="A8" s="18" t="s">
        <v>248</v>
      </c>
      <c r="B8" s="21">
        <f>Financing!D33</f>
        <v>39.49990903684479</v>
      </c>
      <c r="C8" s="21">
        <f>Financing!E33</f>
        <v>31.53955920151387</v>
      </c>
      <c r="D8" s="21">
        <f>Financing!F33</f>
        <v>23.769754999999996</v>
      </c>
      <c r="E8" s="21">
        <f>Financing!G33</f>
        <v>19.245529909999995</v>
      </c>
      <c r="F8" s="21">
        <f>Financing!H33</f>
        <v>14.262704197099996</v>
      </c>
      <c r="G8" s="21">
        <f>Financing!I33</f>
        <v>8.773833361462994</v>
      </c>
      <c r="H8" s="23">
        <f>Financing!J33</f>
        <v>2.6914056913715196</v>
      </c>
      <c r="I8" s="5"/>
    </row>
    <row r="9" spans="1:9" ht="12.75">
      <c r="A9" s="18" t="s">
        <v>199</v>
      </c>
      <c r="B9" s="32">
        <v>6</v>
      </c>
      <c r="C9" s="21"/>
      <c r="D9" s="21"/>
      <c r="E9" s="21"/>
      <c r="F9" s="21"/>
      <c r="G9" s="21"/>
      <c r="H9" s="23"/>
      <c r="I9" s="5"/>
    </row>
    <row r="10" spans="1:9" ht="15.75">
      <c r="A10" s="18" t="s">
        <v>231</v>
      </c>
      <c r="B10" s="32">
        <v>2.4</v>
      </c>
      <c r="C10" s="21"/>
      <c r="D10" s="21"/>
      <c r="E10" s="21"/>
      <c r="F10" s="21"/>
      <c r="G10" s="21"/>
      <c r="H10" s="23"/>
      <c r="I10" s="5"/>
    </row>
    <row r="11" spans="1:9" ht="12.75">
      <c r="A11" s="18" t="s">
        <v>220</v>
      </c>
      <c r="B11" s="32">
        <v>0.3</v>
      </c>
      <c r="C11" s="21"/>
      <c r="D11" s="21"/>
      <c r="E11" s="21"/>
      <c r="F11" s="21"/>
      <c r="G11" s="21"/>
      <c r="H11" s="23"/>
      <c r="I11" s="5"/>
    </row>
    <row r="12" spans="1:9" ht="14.25">
      <c r="A12" s="18" t="s">
        <v>194</v>
      </c>
      <c r="B12" s="32">
        <f>B10/(1+(1-B13)*B11)</f>
        <v>2.0338983050847457</v>
      </c>
      <c r="C12" s="21"/>
      <c r="D12" s="21"/>
      <c r="E12" s="21"/>
      <c r="F12" s="21"/>
      <c r="G12" s="21"/>
      <c r="H12" s="23"/>
      <c r="I12" s="5"/>
    </row>
    <row r="13" spans="1:8" ht="12.75">
      <c r="A13" s="18" t="s">
        <v>190</v>
      </c>
      <c r="B13" s="19">
        <v>0.4</v>
      </c>
      <c r="C13" s="19"/>
      <c r="D13" s="19"/>
      <c r="E13" s="19"/>
      <c r="F13" s="19"/>
      <c r="G13" s="19"/>
      <c r="H13" s="20"/>
    </row>
    <row r="14" spans="1:8" ht="12.75">
      <c r="A14" s="18" t="s">
        <v>195</v>
      </c>
      <c r="B14" s="19">
        <v>0.05</v>
      </c>
      <c r="C14" s="19"/>
      <c r="D14" s="19"/>
      <c r="E14" s="19"/>
      <c r="F14" s="19"/>
      <c r="G14" s="19"/>
      <c r="H14" s="20"/>
    </row>
    <row r="15" spans="1:8" ht="12.75">
      <c r="A15" s="18" t="s">
        <v>196</v>
      </c>
      <c r="B15" s="19">
        <v>0.055</v>
      </c>
      <c r="C15" s="19"/>
      <c r="D15" s="19"/>
      <c r="E15" s="19"/>
      <c r="F15" s="19"/>
      <c r="G15" s="19"/>
      <c r="H15" s="20"/>
    </row>
    <row r="16" spans="1:8" ht="12.75">
      <c r="A16" s="18" t="s">
        <v>198</v>
      </c>
      <c r="B16" s="19">
        <v>0.045</v>
      </c>
      <c r="C16" s="19"/>
      <c r="D16" s="19"/>
      <c r="E16" s="19"/>
      <c r="F16" s="19"/>
      <c r="G16" s="19"/>
      <c r="H16" s="20"/>
    </row>
    <row r="17" spans="1:8" ht="12.75">
      <c r="A17" s="24" t="s">
        <v>197</v>
      </c>
      <c r="B17" s="7">
        <v>0.1</v>
      </c>
      <c r="C17" s="7"/>
      <c r="D17" s="7"/>
      <c r="E17" s="7"/>
      <c r="F17" s="7"/>
      <c r="G17" s="7"/>
      <c r="H17" s="28"/>
    </row>
    <row r="18" spans="1:8" ht="12.75">
      <c r="A18" s="18"/>
      <c r="B18" s="19"/>
      <c r="C18" s="19"/>
      <c r="D18" s="19"/>
      <c r="E18" s="19"/>
      <c r="F18" s="19"/>
      <c r="G18" s="19"/>
      <c r="H18" s="20"/>
    </row>
    <row r="19" spans="1:8" ht="12.75">
      <c r="A19" s="53"/>
      <c r="B19" s="49" t="s">
        <v>185</v>
      </c>
      <c r="C19" s="49" t="s">
        <v>187</v>
      </c>
      <c r="D19" s="49" t="s">
        <v>188</v>
      </c>
      <c r="E19" s="49" t="s">
        <v>241</v>
      </c>
      <c r="F19" s="49" t="s">
        <v>228</v>
      </c>
      <c r="G19" s="49" t="s">
        <v>184</v>
      </c>
      <c r="H19" s="50"/>
    </row>
    <row r="20" spans="1:8" ht="14.25">
      <c r="A20" s="18" t="s">
        <v>239</v>
      </c>
      <c r="B20" s="19" t="s">
        <v>186</v>
      </c>
      <c r="C20" s="19" t="s">
        <v>232</v>
      </c>
      <c r="D20" s="19" t="s">
        <v>189</v>
      </c>
      <c r="E20" s="19" t="s">
        <v>236</v>
      </c>
      <c r="F20" s="19" t="s">
        <v>227</v>
      </c>
      <c r="G20" s="19" t="s">
        <v>183</v>
      </c>
      <c r="H20" s="20"/>
    </row>
    <row r="21" spans="1:8" ht="12.75">
      <c r="A21" s="18">
        <v>2004</v>
      </c>
      <c r="B21" s="14">
        <f>B8/B7</f>
        <v>1.463695115245827</v>
      </c>
      <c r="C21" s="14">
        <f>B12*(1+(1-B13)*(B21))</f>
        <v>3.820102513520331</v>
      </c>
      <c r="D21" s="60">
        <f>(B14+C21*B15)</f>
        <v>0.2601056382436182</v>
      </c>
      <c r="E21" s="74">
        <f>1/(1+D21)</f>
        <v>0.7935842596449588</v>
      </c>
      <c r="F21" s="21">
        <f>'Cash Flow'!G43</f>
        <v>0.3205508868351892</v>
      </c>
      <c r="G21" s="21">
        <f>E21*F21</f>
        <v>0.25438413820763855</v>
      </c>
      <c r="H21" s="20"/>
    </row>
    <row r="22" spans="1:8" ht="12.75">
      <c r="A22" s="18">
        <v>2005</v>
      </c>
      <c r="B22" s="14">
        <f>C8/C7</f>
        <v>1.0220997741177555</v>
      </c>
      <c r="C22" s="14">
        <f>B12*(1+(1-B13)*(B22))</f>
        <v>3.281206504008108</v>
      </c>
      <c r="D22" s="60">
        <f>(B14+C22*B15)</f>
        <v>0.23046635772044594</v>
      </c>
      <c r="E22" s="74">
        <f>1/((1+D21)*(1+D22))</f>
        <v>0.6449459220609232</v>
      </c>
      <c r="F22" s="21">
        <f>'Cash Flow'!H43</f>
        <v>0.18448320502310978</v>
      </c>
      <c r="G22" s="21">
        <f aca="true" t="shared" si="1" ref="G22:G27">E22*F22</f>
        <v>0.11898169076838387</v>
      </c>
      <c r="H22" s="20"/>
    </row>
    <row r="23" spans="1:8" ht="12.75">
      <c r="A23" s="18">
        <v>2006</v>
      </c>
      <c r="B23" s="14">
        <f>D8/D7</f>
        <v>0.6813358612494483</v>
      </c>
      <c r="C23" s="14">
        <f>B12*(1+(1-B13)*(B23))</f>
        <v>2.865359017117971</v>
      </c>
      <c r="D23" s="60">
        <f>(B14+C23*B15)</f>
        <v>0.2075947459414884</v>
      </c>
      <c r="E23" s="74">
        <f>1/((1+D21)*(1+D22)*(1+D23))</f>
        <v>0.5340747997028572</v>
      </c>
      <c r="F23" s="21">
        <f>'Cash Flow'!I43</f>
        <v>1.8478907261529924</v>
      </c>
      <c r="G23" s="21">
        <f t="shared" si="1"/>
        <v>0.9869118694429267</v>
      </c>
      <c r="H23" s="20"/>
    </row>
    <row r="24" spans="1:8" ht="12.75">
      <c r="A24" s="18">
        <v>2007</v>
      </c>
      <c r="B24" s="14">
        <f>E8/E7</f>
        <v>0.48557360484351675</v>
      </c>
      <c r="C24" s="14">
        <f>B12*(1+(1-B13)*B24)</f>
        <v>2.626462704215817</v>
      </c>
      <c r="D24" s="60">
        <f>(B14+C24*B15)</f>
        <v>0.19445544873186993</v>
      </c>
      <c r="E24" s="74">
        <f>1/((1+D21)*(1+D22)*(1+D23)*(1+D24))</f>
        <v>0.44712827110452213</v>
      </c>
      <c r="F24" s="21">
        <f>'Cash Flow'!J43</f>
        <v>7.441041928180885</v>
      </c>
      <c r="G24" s="21">
        <f t="shared" si="1"/>
        <v>3.327100212563779</v>
      </c>
      <c r="H24" s="20"/>
    </row>
    <row r="25" spans="1:8" ht="12.75">
      <c r="A25" s="18">
        <v>2008</v>
      </c>
      <c r="B25" s="14">
        <f>F8/F7</f>
        <v>0.3226288233058434</v>
      </c>
      <c r="C25" s="14">
        <f>B12*(1+(1-B13)*B25)</f>
        <v>2.42761483522069</v>
      </c>
      <c r="D25" s="60">
        <f>(B14+C25*B15)</f>
        <v>0.18351881593713798</v>
      </c>
      <c r="E25" s="74">
        <f>1/((1+D21)*(1+D22)*(1+D23)*(1+D24)*(1+D25))</f>
        <v>0.3777956590833543</v>
      </c>
      <c r="F25" s="21">
        <f>'Cash Flow'!K43</f>
        <v>7.656314617409054</v>
      </c>
      <c r="G25" s="21">
        <f t="shared" si="1"/>
        <v>2.892522427033573</v>
      </c>
      <c r="H25" s="20"/>
    </row>
    <row r="26" spans="1:8" ht="12.75">
      <c r="A26" s="18">
        <v>2009</v>
      </c>
      <c r="B26" s="14">
        <f>G8/G7</f>
        <v>0.17858433674552449</v>
      </c>
      <c r="C26" s="14">
        <f>B12*(1+(1-B13)*B26)</f>
        <v>2.2518317329775894</v>
      </c>
      <c r="D26" s="60">
        <f>(B14+C26*B15)</f>
        <v>0.17385074531376743</v>
      </c>
      <c r="E26" s="74">
        <f>1/((1+D21)*(1+D22)*(1+D23)*(1+D24)*(1+D25)*(1+D26))</f>
        <v>0.3218430116363477</v>
      </c>
      <c r="F26" s="21">
        <f>'Cash Flow'!L43</f>
        <v>8.079551588929851</v>
      </c>
      <c r="G26" s="21">
        <f t="shared" si="1"/>
        <v>2.6003472160524215</v>
      </c>
      <c r="H26" s="20"/>
    </row>
    <row r="27" spans="1:8" ht="12.75">
      <c r="A27" s="18">
        <v>2010</v>
      </c>
      <c r="B27" s="14">
        <f>H8/H7</f>
        <v>0.049281838572846355</v>
      </c>
      <c r="C27" s="14">
        <f>B12*(1+(1-B13)*B27)</f>
        <v>2.094038853851609</v>
      </c>
      <c r="D27" s="60">
        <f>(B14+C27*B15)</f>
        <v>0.1651721369618385</v>
      </c>
      <c r="E27" s="74">
        <f>1/((1+D21)*(1+D22)*(1+D23)*(1+D24)*(1+D25)*(1+D26)*(1+D27))</f>
        <v>0.27621928247919364</v>
      </c>
      <c r="F27" s="21">
        <f>'Cash Flow'!M43</f>
        <v>8.509961053148196</v>
      </c>
      <c r="G27" s="21">
        <f t="shared" si="1"/>
        <v>2.3506153360264777</v>
      </c>
      <c r="H27" s="20"/>
    </row>
    <row r="28" spans="1:8" ht="12.75">
      <c r="A28" s="18" t="s">
        <v>191</v>
      </c>
      <c r="B28" s="19"/>
      <c r="C28" s="19"/>
      <c r="D28" s="19"/>
      <c r="E28" s="19"/>
      <c r="F28" s="19"/>
      <c r="G28" s="21">
        <f>SUM(G21:G27)</f>
        <v>12.5308628900952</v>
      </c>
      <c r="H28" s="20"/>
    </row>
    <row r="29" spans="1:8" ht="12.75">
      <c r="A29" s="18" t="s">
        <v>192</v>
      </c>
      <c r="B29" s="19"/>
      <c r="C29" s="19"/>
      <c r="D29" s="19"/>
      <c r="E29" s="19"/>
      <c r="F29" s="19"/>
      <c r="G29" s="48">
        <f>((F27*(1+B16))/(B17-B16))*E27</f>
        <v>44.661691384503065</v>
      </c>
      <c r="H29" s="20"/>
    </row>
    <row r="30" spans="1:8" ht="12.75">
      <c r="A30" s="24" t="s">
        <v>193</v>
      </c>
      <c r="B30" s="7"/>
      <c r="C30" s="7"/>
      <c r="D30" s="7"/>
      <c r="E30" s="7"/>
      <c r="F30" s="7"/>
      <c r="G30" s="13">
        <f>G28+G29</f>
        <v>57.192554274598265</v>
      </c>
      <c r="H30" s="28"/>
    </row>
    <row r="31" spans="1:8" ht="12.75">
      <c r="A31" s="19"/>
      <c r="B31" s="19"/>
      <c r="C31" s="19"/>
      <c r="D31" s="19"/>
      <c r="E31" s="19"/>
      <c r="F31" s="19"/>
      <c r="G31" s="14"/>
      <c r="H31" s="19"/>
    </row>
    <row r="32" spans="1:14" ht="14.25">
      <c r="A32" s="107" t="s">
        <v>246</v>
      </c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</row>
    <row r="33" spans="1:14" ht="12.75">
      <c r="A33" s="75" t="s">
        <v>247</v>
      </c>
      <c r="B33" s="83"/>
      <c r="C33" s="83"/>
      <c r="D33" s="83"/>
      <c r="E33" s="83"/>
      <c r="F33" s="83"/>
      <c r="G33" s="83"/>
      <c r="H33" s="83"/>
      <c r="I33" s="2"/>
      <c r="J33" s="2"/>
      <c r="K33" s="2"/>
      <c r="L33" s="2"/>
      <c r="M33" s="2"/>
      <c r="N33" s="2"/>
    </row>
    <row r="34" spans="1:9" ht="15.75">
      <c r="A34" s="104" t="s">
        <v>233</v>
      </c>
      <c r="B34" s="83"/>
      <c r="C34" s="83"/>
      <c r="D34" s="83"/>
      <c r="E34" s="83"/>
      <c r="F34" s="83"/>
      <c r="G34" s="83"/>
      <c r="H34" s="83"/>
      <c r="I34" s="83"/>
    </row>
    <row r="35" spans="1:9" ht="15.75">
      <c r="A35" s="104" t="s">
        <v>234</v>
      </c>
      <c r="B35" s="83"/>
      <c r="C35" s="83"/>
      <c r="D35" s="83"/>
      <c r="E35" s="83"/>
      <c r="F35" s="83"/>
      <c r="G35" s="83"/>
      <c r="H35" s="83"/>
      <c r="I35" s="83"/>
    </row>
    <row r="36" spans="1:8" ht="14.25">
      <c r="A36" s="107" t="s">
        <v>238</v>
      </c>
      <c r="B36" s="108"/>
      <c r="C36" s="108"/>
      <c r="D36" s="108"/>
      <c r="E36" s="108"/>
      <c r="F36" s="108"/>
      <c r="G36" s="108"/>
      <c r="H36" s="108"/>
    </row>
    <row r="37" spans="1:8" ht="12.75">
      <c r="A37" s="83" t="s">
        <v>237</v>
      </c>
      <c r="B37" s="83"/>
      <c r="C37" s="83"/>
      <c r="D37" s="83"/>
      <c r="E37" s="83"/>
      <c r="F37" s="83"/>
      <c r="G37" s="83"/>
      <c r="H37" s="83"/>
    </row>
    <row r="38" spans="1:8" ht="15.75">
      <c r="A38" s="83" t="s">
        <v>243</v>
      </c>
      <c r="B38" s="83"/>
      <c r="C38" s="83"/>
      <c r="D38" s="83"/>
      <c r="E38" s="83"/>
      <c r="F38" s="83"/>
      <c r="G38" s="83"/>
      <c r="H38" s="83"/>
    </row>
    <row r="41" ht="12.75">
      <c r="B41" s="60"/>
    </row>
    <row r="42" ht="12.75">
      <c r="B42" s="60"/>
    </row>
    <row r="43" ht="12.75">
      <c r="B43" s="60"/>
    </row>
    <row r="44" ht="12.75">
      <c r="B44" s="60"/>
    </row>
    <row r="45" ht="12.75">
      <c r="B45" s="60"/>
    </row>
    <row r="46" ht="12.75">
      <c r="B46" s="60"/>
    </row>
    <row r="47" ht="12.75">
      <c r="B47" s="60"/>
    </row>
  </sheetData>
  <mergeCells count="8">
    <mergeCell ref="A38:H38"/>
    <mergeCell ref="A34:I34"/>
    <mergeCell ref="A35:I35"/>
    <mergeCell ref="A33:H33"/>
    <mergeCell ref="A1:H1"/>
    <mergeCell ref="A32:N32"/>
    <mergeCell ref="A36:H36"/>
    <mergeCell ref="A37:H37"/>
  </mergeCells>
  <printOptions/>
  <pageMargins left="0.75" right="0.75" top="0.75" bottom="0.75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Donald M. DePamphilis</dc:creator>
  <cp:keywords/>
  <dc:description/>
  <cp:lastModifiedBy>Administrator</cp:lastModifiedBy>
  <cp:lastPrinted>2003-09-20T17:49:21Z</cp:lastPrinted>
  <dcterms:created xsi:type="dcterms:W3CDTF">2003-09-08T16:26:57Z</dcterms:created>
  <dcterms:modified xsi:type="dcterms:W3CDTF">2008-08-04T18:01:46Z</dcterms:modified>
  <cp:category/>
  <cp:version/>
  <cp:contentType/>
  <cp:contentStatus/>
</cp:coreProperties>
</file>