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789" firstSheet="1" activeTab="10"/>
  </bookViews>
  <sheets>
    <sheet name="Introduction" sheetId="1" r:id="rId1"/>
    <sheet name="BP_App_B1" sheetId="2" r:id="rId2"/>
    <sheet name="BP_App_B2" sheetId="3" r:id="rId3"/>
    <sheet name="BP_App_B3" sheetId="4" r:id="rId4"/>
    <sheet name="BP_App_B4" sheetId="5" r:id="rId5"/>
    <sheet name="AP_App_B1" sheetId="6" r:id="rId6"/>
    <sheet name="AP_App_B2" sheetId="7" r:id="rId7"/>
    <sheet name="AP_App_B3" sheetId="8" r:id="rId8"/>
    <sheet name="AP_App_C" sheetId="9" r:id="rId9"/>
    <sheet name="AP_App_D" sheetId="10" r:id="rId10"/>
    <sheet name="AP_App_E" sheetId="11" r:id="rId11"/>
    <sheet name="AP_App_F" sheetId="12" r:id="rId12"/>
    <sheet name="AP_App_G" sheetId="13" r:id="rId13"/>
    <sheet name="AP_App_A1" sheetId="14" r:id="rId14"/>
    <sheet name="AP_App_A2" sheetId="15" r:id="rId15"/>
  </sheets>
  <definedNames>
    <definedName name="_xlnm.Print_Area" localSheetId="13">'AP_App_A1'!$A$2:$BC$36</definedName>
    <definedName name="_xlnm.Print_Area" localSheetId="14">'AP_App_A2'!$A$2:$BA$35</definedName>
    <definedName name="_xlnm.Print_Area" localSheetId="1">'BP_App_B1'!$A$1:$K$12</definedName>
    <definedName name="_xlnm.Print_Area" localSheetId="3">'BP_App_B3'!$A$1:$M$27</definedName>
    <definedName name="_xlnm.Print_Area" localSheetId="0">'Introduction'!$C$17:$H$39</definedName>
    <definedName name="_xlnm.Print_Titles" localSheetId="5">'AP_App_B1'!$24:$25</definedName>
    <definedName name="_xlnm.Print_Titles" localSheetId="8">'AP_App_C'!$16:$17</definedName>
    <definedName name="_xlnm.Print_Titles" localSheetId="1">'BP_App_B1'!$23:$24</definedName>
    <definedName name="TABLE" localSheetId="11">'AP_App_F'!$B$10:$B$11</definedName>
    <definedName name="TABLE_2" localSheetId="11">'AP_App_F'!$B$10:$B$11</definedName>
    <definedName name="TABLE_3" localSheetId="11">'AP_App_F'!$B$10:$B$11</definedName>
  </definedNames>
  <calcPr fullCalcOnLoad="1" iterate="1" iterateCount="100" iterateDelta="0.1"/>
</workbook>
</file>

<file path=xl/comments2.xml><?xml version="1.0" encoding="utf-8"?>
<comments xmlns="http://schemas.openxmlformats.org/spreadsheetml/2006/main">
  <authors>
    <author>A. Stalk</author>
  </authors>
  <commentList>
    <comment ref="F41" authorId="0">
      <text>
        <r>
          <rPr>
            <sz val="8"/>
            <rFont val="Tahoma"/>
            <family val="0"/>
          </rPr>
          <t xml:space="preserve">Excluding non-recurring charges and discontinued operations
</t>
        </r>
      </text>
    </comment>
  </commentList>
</comments>
</file>

<file path=xl/sharedStrings.xml><?xml version="1.0" encoding="utf-8"?>
<sst xmlns="http://schemas.openxmlformats.org/spreadsheetml/2006/main" count="1073" uniqueCount="632">
  <si>
    <t>segments whose growth is exceeding the overall market growth rate. We assume 10% growth for the next 2 years, after which we expect growth to decline gradually</t>
  </si>
  <si>
    <t>Depreciation of Gross Fixed Assets has been set at 10% to assume a 10 year depreciation cycle which is standard for most long-lived assets in this industry.</t>
  </si>
  <si>
    <t>Current Liabilities have decreased substantially over the last few year as allowances and reserves for obsolescence have gone down as a percentage of sales.</t>
  </si>
  <si>
    <t xml:space="preserve"> In our model we assume 25% to be conservative.  </t>
  </si>
  <si>
    <t>Capital Expenditures have been high in the past as the Target has been acquiring fixed assets as part of their recent acquisitions.</t>
  </si>
  <si>
    <t>Target's level of D/E</t>
  </si>
  <si>
    <t>Target Tax Rate</t>
  </si>
  <si>
    <t xml:space="preserve">Current stock price </t>
  </si>
  <si>
    <t>Consolidated Acquirer and Target - including Synergy</t>
  </si>
  <si>
    <t xml:space="preserve"> - 1 Month's pay for back office positions</t>
  </si>
  <si>
    <t xml:space="preserve"> - Average 3 months' pay for professional </t>
  </si>
  <si>
    <t>We expect the landlord will be pleased to let us out of the rental agreement, because</t>
  </si>
  <si>
    <t xml:space="preserve">The Acquirer expects to save approximately 10% of manufacturing costs by manufacturing </t>
  </si>
  <si>
    <t xml:space="preserve">and warehousing functions will be terminated.  </t>
  </si>
  <si>
    <t>depending on period of employment. Because average seniority is less than 3 years, the Acquirer expects</t>
  </si>
  <si>
    <t>Net Sales Growth Rate</t>
  </si>
  <si>
    <t>Depreciation &amp; Amortization / Gross Fixed Assets %</t>
  </si>
  <si>
    <t>Cost of Sales (Variable) / Sales %</t>
  </si>
  <si>
    <t>Selling Expenses / Sales (%)</t>
  </si>
  <si>
    <t>G&amp;A Expenses / Sales (%)</t>
  </si>
  <si>
    <t>Interest on Cash &amp; Marketable Securities</t>
  </si>
  <si>
    <t>Interest Rate on Debt (%)</t>
  </si>
  <si>
    <t>Marginal Tax Rate</t>
  </si>
  <si>
    <t>Other Assets / Sales (%)</t>
  </si>
  <si>
    <t>Gross Fixed Assets / Sales (%)</t>
  </si>
  <si>
    <t>Minimum Cash Balance / Sales (%)</t>
  </si>
  <si>
    <t>Current Liabilities / Sales (%)</t>
  </si>
  <si>
    <t>Common Shares Outstanding (Mil)</t>
  </si>
  <si>
    <t>Market Value of Long-Term Debt</t>
  </si>
  <si>
    <t>Income Statement ($mil)</t>
  </si>
  <si>
    <t>Projected Financials</t>
  </si>
  <si>
    <t>Historical Financials</t>
  </si>
  <si>
    <t>Net Sales</t>
  </si>
  <si>
    <t>Less:</t>
  </si>
  <si>
    <t xml:space="preserve">   Total Cost of Sales</t>
  </si>
  <si>
    <t>Gross Profit</t>
  </si>
  <si>
    <t xml:space="preserve">   Sales Expense</t>
  </si>
  <si>
    <t xml:space="preserve">   G&amp;A Expense</t>
  </si>
  <si>
    <t xml:space="preserve">   Total Sales and G&amp;A Expense</t>
  </si>
  <si>
    <t>Operating Profits (EBIT)</t>
  </si>
  <si>
    <t>Plus: Interest Income</t>
  </si>
  <si>
    <t>Less: Interest Expense</t>
  </si>
  <si>
    <t>Net Profits Before Taxes</t>
  </si>
  <si>
    <t>Less: Taxes</t>
  </si>
  <si>
    <t>Net Profits After Taxes</t>
  </si>
  <si>
    <t>Balance Sheet</t>
  </si>
  <si>
    <t>Current Assets</t>
  </si>
  <si>
    <t>Total Current Assets</t>
  </si>
  <si>
    <t>Gross Fixed Assets</t>
  </si>
  <si>
    <t>Net Fixed Assets</t>
  </si>
  <si>
    <t>Total Assets</t>
  </si>
  <si>
    <t>Current Liabilities</t>
  </si>
  <si>
    <t>Long-Term Debt</t>
  </si>
  <si>
    <t>Shareholders' Equity</t>
  </si>
  <si>
    <t xml:space="preserve">   Common Stock</t>
  </si>
  <si>
    <t xml:space="preserve">   Retained Earnings</t>
  </si>
  <si>
    <t xml:space="preserve">Free Cash Flow </t>
  </si>
  <si>
    <t>EBIT (1-t)</t>
  </si>
  <si>
    <t>Plus: Depreciation and Amort.</t>
  </si>
  <si>
    <t>Less: Change in Working Capital</t>
  </si>
  <si>
    <t xml:space="preserve">   Free Cash Flow</t>
  </si>
  <si>
    <t>PV: Terminal Value</t>
  </si>
  <si>
    <t>Total PV (Market Value of the Firm)</t>
  </si>
  <si>
    <t>Less: Market Value of Long-Term Debt</t>
  </si>
  <si>
    <t>Equity Value</t>
  </si>
  <si>
    <t>Equity Value per Share</t>
  </si>
  <si>
    <t xml:space="preserve">   Other expense (income), net</t>
  </si>
  <si>
    <t>Other Assets</t>
  </si>
  <si>
    <t>Other Liabilities</t>
  </si>
  <si>
    <t>Total Liabilities</t>
  </si>
  <si>
    <t>Effective Tax Rate</t>
  </si>
  <si>
    <t>Shares Outstanding (millions)</t>
  </si>
  <si>
    <t>1)</t>
  </si>
  <si>
    <t>Medium-Term Notes</t>
  </si>
  <si>
    <t>%</t>
  </si>
  <si>
    <t>Amount</t>
  </si>
  <si>
    <t>Mortgage Note</t>
  </si>
  <si>
    <t xml:space="preserve">1) </t>
  </si>
  <si>
    <t xml:space="preserve">   Depreciation</t>
  </si>
  <si>
    <t>Historical Ratios</t>
  </si>
  <si>
    <t>Cash Balance / Sales (%)</t>
  </si>
  <si>
    <t>Average</t>
  </si>
  <si>
    <t>Minimum</t>
  </si>
  <si>
    <t>Maximum</t>
  </si>
  <si>
    <t>2)</t>
  </si>
  <si>
    <t>3)</t>
  </si>
  <si>
    <t>4)</t>
  </si>
  <si>
    <t>5)</t>
  </si>
  <si>
    <t>6)</t>
  </si>
  <si>
    <t>7)</t>
  </si>
  <si>
    <t>Tax Rate</t>
  </si>
  <si>
    <t>8)</t>
  </si>
  <si>
    <t>9)</t>
  </si>
  <si>
    <t>10)</t>
  </si>
  <si>
    <t>11)</t>
  </si>
  <si>
    <t>12)</t>
  </si>
  <si>
    <t>Sustainable Cash Flow Growth Rate (%)</t>
  </si>
  <si>
    <t>Long-Term Debt 1)</t>
  </si>
  <si>
    <t>Notes:</t>
  </si>
  <si>
    <t>Long-Term Debt consists of:</t>
  </si>
  <si>
    <t xml:space="preserve"> - Euro Notes</t>
  </si>
  <si>
    <t xml:space="preserve">   Total</t>
  </si>
  <si>
    <t xml:space="preserve">  Total Debt 2)</t>
  </si>
  <si>
    <t xml:space="preserve">2) </t>
  </si>
  <si>
    <t xml:space="preserve">   Amortization of Intangibles</t>
  </si>
  <si>
    <t xml:space="preserve">   Variable Cost of Sales</t>
  </si>
  <si>
    <t xml:space="preserve">3) </t>
  </si>
  <si>
    <t>Debt Category</t>
  </si>
  <si>
    <t>(Amounts in thousands)</t>
  </si>
  <si>
    <t xml:space="preserve">  Existing Debt</t>
  </si>
  <si>
    <t xml:space="preserve">  New Debt</t>
  </si>
  <si>
    <t>13)</t>
  </si>
  <si>
    <t>Historical Financial Ratios</t>
  </si>
  <si>
    <t>as $400 million in foreign credit line.</t>
  </si>
  <si>
    <t xml:space="preserve">Average usage is </t>
  </si>
  <si>
    <t xml:space="preserve">or </t>
  </si>
  <si>
    <t>million.</t>
  </si>
  <si>
    <t xml:space="preserve">  Less: Accum. Depr. &amp; Amort.</t>
  </si>
  <si>
    <t xml:space="preserve">   Other Operating Assets</t>
  </si>
  <si>
    <t>Investments</t>
  </si>
  <si>
    <t xml:space="preserve">   Cash </t>
  </si>
  <si>
    <t>Other Current Operations Assets / Sales (%)</t>
  </si>
  <si>
    <t>Earnings per Share</t>
  </si>
  <si>
    <t>Capital Expenditures / Gross Fixed Assets</t>
  </si>
  <si>
    <t>Prime</t>
  </si>
  <si>
    <t>10 -Year T-Note</t>
  </si>
  <si>
    <t>Commercial Paper 3-months</t>
  </si>
  <si>
    <t>Federal Funds Rate</t>
  </si>
  <si>
    <t>CD's 6 months</t>
  </si>
  <si>
    <t>Interest Rate on New Debt (%)</t>
  </si>
  <si>
    <t>Risk-free Rate</t>
  </si>
  <si>
    <t>Market Risk Premium</t>
  </si>
  <si>
    <t>Debt / Equity</t>
  </si>
  <si>
    <t>Levered Beta</t>
  </si>
  <si>
    <t>Discount Rate - Moody's Aaa</t>
  </si>
  <si>
    <t>Principal</t>
  </si>
  <si>
    <t>Interest</t>
  </si>
  <si>
    <t>Payments:</t>
  </si>
  <si>
    <t>Total</t>
  </si>
  <si>
    <t>BegBal</t>
  </si>
  <si>
    <t>Int. Rate</t>
  </si>
  <si>
    <t xml:space="preserve">   Total Debt Cash Flow</t>
  </si>
  <si>
    <t xml:space="preserve">   Discounted Value</t>
  </si>
  <si>
    <t>Interest Payments</t>
  </si>
  <si>
    <t>Interest on Credit Facility</t>
  </si>
  <si>
    <t xml:space="preserve">Total Interest </t>
  </si>
  <si>
    <t>Other Current (Operations) Assets / Sales (%)</t>
  </si>
  <si>
    <t>14)</t>
  </si>
  <si>
    <t>gaining market share in the U.S. and expanding into new markets.</t>
  </si>
  <si>
    <t>Bringing down the Cost of Sales to 50.5% over the next four years will be achieved through the following actions:</t>
  </si>
  <si>
    <t>- the reduction of excess manufacturing capacity,</t>
  </si>
  <si>
    <t>- the improvement of supply chain performance and economics.</t>
  </si>
  <si>
    <t>The elimination of underperforming product lines will allow the company to spend sales dollars more effectively.</t>
  </si>
  <si>
    <t>few years to 16.5% as a result of major efficiency initiatives, including</t>
  </si>
  <si>
    <t>A blended rate, combining non-interest bearing deposits and marketable securities at federal funds rate, is used in the forecast.</t>
  </si>
  <si>
    <t>The interest on Current Debt is calculated based on the existing interest rates on the debt.</t>
  </si>
  <si>
    <t>The tax rate shown is the tax on income after exclusion of non-recurring charges. The actual tax rate was 24.5% for 2000,</t>
  </si>
  <si>
    <t xml:space="preserve">Utilization of these carry-forwards is subject to annual limitations. As a result of the loss carry-forwards, the income tax rate for </t>
  </si>
  <si>
    <t>been 29%. As losses are used, the percentage of Other Assets will be reduced over the next three years.</t>
  </si>
  <si>
    <t>Elimination of excess capacity will be balanced by increased investment in new equipment.  Gross Fixed Assets are</t>
  </si>
  <si>
    <t>To ensure sufficient liquidity a minimum cash balance of 4.5% is included in the forecast.</t>
  </si>
  <si>
    <t>Interest Rate</t>
  </si>
  <si>
    <t>Beginning Balance</t>
  </si>
  <si>
    <t>Remaining Balance</t>
  </si>
  <si>
    <t>Beg. Bal</t>
  </si>
  <si>
    <t xml:space="preserve">  Total Debt</t>
  </si>
  <si>
    <t>Credit Facility 3)</t>
  </si>
  <si>
    <t>Interest rate is Commercial Paper rate</t>
  </si>
  <si>
    <t>Maturity Schedule and Interest Rates - Existing Long-Term Debt for Forecast Period</t>
  </si>
  <si>
    <t>Total Debt</t>
  </si>
  <si>
    <t>Maturing Amount</t>
  </si>
  <si>
    <t>Maturity Schedule</t>
  </si>
  <si>
    <t>Ending Balance</t>
  </si>
  <si>
    <t>Calculation of Market Value of Current Long-Term Debt</t>
  </si>
  <si>
    <t>P/E</t>
  </si>
  <si>
    <t>P/S</t>
  </si>
  <si>
    <t>LT Debt/Equity</t>
  </si>
  <si>
    <t>ROI - 5 year avg.</t>
  </si>
  <si>
    <t>ROE - 5 year avg.</t>
  </si>
  <si>
    <t>Stock Price as of 12/31/2000</t>
  </si>
  <si>
    <t>1) From investment research reports.</t>
  </si>
  <si>
    <t>Industry Average 1)</t>
  </si>
  <si>
    <t>2) Based on financial data in statements and year-end stock price.</t>
  </si>
  <si>
    <t>Integration Expenses</t>
  </si>
  <si>
    <t xml:space="preserve">Need for credit lines is assumed to keep pace with sales growth at </t>
  </si>
  <si>
    <t xml:space="preserve">   Other expense (income), net 2)</t>
  </si>
  <si>
    <t>1) Blended rate on interest-bearing cash accounts and short-term money market instruments.</t>
  </si>
  <si>
    <t>Value</t>
  </si>
  <si>
    <t>TOTAL</t>
  </si>
  <si>
    <t>PRICE/SALES VALUATION</t>
  </si>
  <si>
    <t>PRICE/SALES</t>
  </si>
  <si>
    <t>AVERAGE</t>
  </si>
  <si>
    <t>Selling expenses will remain flat as a percentage of sales within our model.</t>
  </si>
  <si>
    <t>Market Value of Current Long-Term Debt (in thousands)</t>
  </si>
  <si>
    <t xml:space="preserve">10) </t>
  </si>
  <si>
    <t>Other Current Operations assets are assumed to be maintained at about the average rate of the past years at 30%.</t>
  </si>
  <si>
    <t>Other Assets / Sales ($5 million decrease per year)</t>
  </si>
  <si>
    <t>The tax rate is assumed to increase slightly during the forecast period.</t>
  </si>
  <si>
    <t>Summary of Expected Synergy</t>
  </si>
  <si>
    <t>PRICE/ EARNINGS VALUATION</t>
  </si>
  <si>
    <t>COMPARABLE COMPANIES</t>
  </si>
  <si>
    <t>million</t>
  </si>
  <si>
    <t>We have projected a decrease in capital expenditures as the forecast does not include projections for acquisitions.</t>
  </si>
  <si>
    <t xml:space="preserve"> - Rent</t>
  </si>
  <si>
    <t xml:space="preserve"> - Elimination of 15 back office positions</t>
  </si>
  <si>
    <t xml:space="preserve">   at $35,000 each</t>
  </si>
  <si>
    <t xml:space="preserve"> - Elimination of 10 professional positions</t>
  </si>
  <si>
    <t xml:space="preserve">   at 90,000 each</t>
  </si>
  <si>
    <t xml:space="preserve"> - 3 Months Rent</t>
  </si>
  <si>
    <t xml:space="preserve">   positions</t>
  </si>
  <si>
    <t>The total annual savings of the closing of the Hong Kong office will be:</t>
  </si>
  <si>
    <t>The rental market is tight in Hong Kong. Although we are contractually allowed</t>
  </si>
  <si>
    <t>compensation for the inconvenience.</t>
  </si>
  <si>
    <t>to sublet the office, we would prefer not to be involved in managing a new tenant.</t>
  </si>
  <si>
    <r>
      <t>Termination of 3rd Party manufacturing agreements:</t>
    </r>
    <r>
      <rPr>
        <vertAlign val="superscript"/>
        <sz val="10"/>
        <rFont val="Arial"/>
        <family val="2"/>
      </rPr>
      <t>2)</t>
    </r>
  </si>
  <si>
    <t>the contract or earlier if a financially favorable agreement can be reached.</t>
  </si>
  <si>
    <t xml:space="preserve">4) </t>
  </si>
  <si>
    <t>Warehouse space in City of Industry (CA)</t>
  </si>
  <si>
    <t>Warehouse space in New Brunswick (NJ)</t>
  </si>
  <si>
    <t>Malibu Headquarters (CA)</t>
  </si>
  <si>
    <t>Dexter Michigan Office  (MI)</t>
  </si>
  <si>
    <t>International Toy Center New York (showroom) (NY)</t>
  </si>
  <si>
    <r>
      <t>Termination of rental contracts:</t>
    </r>
    <r>
      <rPr>
        <vertAlign val="superscript"/>
        <sz val="10"/>
        <rFont val="Arial"/>
        <family val="2"/>
      </rPr>
      <t xml:space="preserve"> 3)</t>
    </r>
  </si>
  <si>
    <r>
      <t xml:space="preserve">Termination of employees in U.S.:  </t>
    </r>
    <r>
      <rPr>
        <vertAlign val="superscript"/>
        <sz val="10"/>
        <rFont val="Arial"/>
        <family val="2"/>
      </rPr>
      <t>4)</t>
    </r>
  </si>
  <si>
    <t>attempt to come to a financial agreement with landlord or sublet space.</t>
  </si>
  <si>
    <t>All other (75) employees, involved in back-office, customer service, distribution</t>
  </si>
  <si>
    <t xml:space="preserve"> - 75 employees with average pay of </t>
  </si>
  <si>
    <t xml:space="preserve">   $40,000, including benefits.</t>
  </si>
  <si>
    <t>(In millions)</t>
  </si>
  <si>
    <t xml:space="preserve">6) </t>
  </si>
  <si>
    <t>As a result of the closure of the Hong Kong Office the following additional expenses</t>
  </si>
  <si>
    <t xml:space="preserve">Cost of Sales Synergy </t>
  </si>
  <si>
    <t>Selling Expenses Synergy</t>
  </si>
  <si>
    <t>G&amp;A Expenses Synergy</t>
  </si>
  <si>
    <t>50% COS/50% Sales Expense</t>
  </si>
  <si>
    <t>G&amp;A</t>
  </si>
  <si>
    <t>50% COS / 50% Sales Expense</t>
  </si>
  <si>
    <t>Integration Expense</t>
  </si>
  <si>
    <t>100% COS</t>
  </si>
  <si>
    <t>50% G&amp;A/25% Sales/25% COS</t>
  </si>
  <si>
    <t>50% COS/ 50% Sales</t>
  </si>
  <si>
    <t>100% Sales</t>
  </si>
  <si>
    <t>75% G&amp;A/25%COS</t>
  </si>
  <si>
    <t>Expense Category</t>
  </si>
  <si>
    <t xml:space="preserve">   Cost of Sales Synergy</t>
  </si>
  <si>
    <t xml:space="preserve">   Sales Expense Synergy</t>
  </si>
  <si>
    <t xml:space="preserve">   Integration Expenses</t>
  </si>
  <si>
    <t>Acquirer Shares Outstanding (Mil)</t>
  </si>
  <si>
    <t>Standalone Value</t>
  </si>
  <si>
    <t>Value of Synergy</t>
  </si>
  <si>
    <r>
      <t>Minimum Offer Price (PV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>) ($Mil)</t>
    </r>
  </si>
  <si>
    <r>
      <t>Maximum Offer Price (PV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>) ($Mil)</t>
    </r>
  </si>
  <si>
    <t>Initial Offer Price ($Mil)</t>
  </si>
  <si>
    <t>Initial Offer Price Per Share ($)</t>
  </si>
  <si>
    <t>Purchase Price Premium Per Share</t>
  </si>
  <si>
    <t>Cash Per Share ($)</t>
  </si>
  <si>
    <t>Share Exchange Ratio</t>
  </si>
  <si>
    <t>Ownership Distribution in New Firm</t>
  </si>
  <si>
    <t>Discounted Cash Flow Valuations ($Mil)</t>
  </si>
  <si>
    <t>Without Synergy (1)</t>
  </si>
  <si>
    <t>With Synergy (2)</t>
  </si>
  <si>
    <t>Cash Portion of Offer Price (%)</t>
  </si>
  <si>
    <t>Notes</t>
  </si>
  <si>
    <t>- an increase in efficiency in supply chain communication.</t>
  </si>
  <si>
    <t>To ensure sufficient Current Assets to fund operations a minimum level of 35% for Other Current Operating Assets is included in the forecast.</t>
  </si>
  <si>
    <t>Key Valuation Indicators</t>
  </si>
  <si>
    <t>Fixed assets as a percentage of sales will be increased to 12% to sustain growth of the business. Fixed assets mainly consists of molds and tooling</t>
  </si>
  <si>
    <t>and 12% will provide a reasonable replenishment rate of these assets.</t>
  </si>
  <si>
    <t>Long-Term Debt/Equity</t>
  </si>
  <si>
    <t>Offer Price Supporting Data</t>
  </si>
  <si>
    <t xml:space="preserve">                      Weighted Average Valuation</t>
  </si>
  <si>
    <t>Weighting Factor</t>
  </si>
  <si>
    <t>Weighted Value</t>
  </si>
  <si>
    <t>Discounted Cash Flow Valuation</t>
  </si>
  <si>
    <t>Forecast Comments</t>
  </si>
  <si>
    <t xml:space="preserve">Income Statement ($Millions) </t>
  </si>
  <si>
    <t xml:space="preserve">Net Sales </t>
  </si>
  <si>
    <t xml:space="preserve">Less: Cost of Sales </t>
  </si>
  <si>
    <t>Less: Sales, General &amp; Admin. Exp.</t>
  </si>
  <si>
    <t xml:space="preserve">Less: Interest Expense </t>
  </si>
  <si>
    <t>Earnings per share ($/Share)</t>
  </si>
  <si>
    <t>Balance Sheet (12/31)</t>
  </si>
  <si>
    <t>Cash &amp; Marketable Securities</t>
  </si>
  <si>
    <t>Other Current Assets</t>
  </si>
  <si>
    <t xml:space="preserve">     Total Current Assets</t>
  </si>
  <si>
    <t xml:space="preserve">Gross Fixed Assets </t>
  </si>
  <si>
    <t>Less: Accumulated Depreciation</t>
  </si>
  <si>
    <t xml:space="preserve">Long-term debt </t>
  </si>
  <si>
    <t xml:space="preserve">     Exiting Debt</t>
  </si>
  <si>
    <t xml:space="preserve">     Transaction related debt</t>
  </si>
  <si>
    <t xml:space="preserve">     Total Long-term Debt</t>
  </si>
  <si>
    <t>Common Stock</t>
  </si>
  <si>
    <t>Retained Earnings</t>
  </si>
  <si>
    <t>Total Liabilities+Shareholders' Equity</t>
  </si>
  <si>
    <t>Addendum:</t>
  </si>
  <si>
    <t>Value Creation Summary</t>
  </si>
  <si>
    <t>($Millions)</t>
  </si>
  <si>
    <t xml:space="preserve">          Total</t>
  </si>
  <si>
    <t>Value Created</t>
  </si>
  <si>
    <t>Distribution of Value</t>
  </si>
  <si>
    <t>Long-term debt / Equity</t>
  </si>
  <si>
    <t>% Shared</t>
  </si>
  <si>
    <t>EPS at Initial Offer Price</t>
  </si>
  <si>
    <t>Synergy</t>
  </si>
  <si>
    <t>Pre-acquisition Equity Value</t>
  </si>
  <si>
    <t>Consolidated Value after Acquisition</t>
  </si>
  <si>
    <t>Industry Long-term Debt/Equity</t>
  </si>
  <si>
    <t>Moody's A</t>
  </si>
  <si>
    <t xml:space="preserve">Offer </t>
  </si>
  <si>
    <t>Price</t>
  </si>
  <si>
    <t>$-millions</t>
  </si>
  <si>
    <t>Rental contract for office space in Dexter, Michigan does not expire until 2008. We will</t>
  </si>
  <si>
    <t>retained.</t>
  </si>
  <si>
    <t>in-house, as a result of using excess manufacturing capacity and economies of scale as</t>
  </si>
  <si>
    <t xml:space="preserve">7) </t>
  </si>
  <si>
    <r>
      <t xml:space="preserve">Severance pay as a result of terminations. </t>
    </r>
    <r>
      <rPr>
        <vertAlign val="superscript"/>
        <sz val="10"/>
        <rFont val="Arial"/>
        <family val="2"/>
      </rPr>
      <t>5)</t>
    </r>
  </si>
  <si>
    <t>to pay an average of 1.5 months of severance pay per employee. (1.5 * $3,300 * 75 = $371,250)</t>
  </si>
  <si>
    <r>
      <t xml:space="preserve">Retention bonuses for key employees </t>
    </r>
    <r>
      <rPr>
        <vertAlign val="superscript"/>
        <sz val="10"/>
        <rFont val="Arial"/>
        <family val="2"/>
      </rPr>
      <t>6)</t>
    </r>
  </si>
  <si>
    <t>Retention bonuses for key creative employees. An estimated 25 employees will be offered average</t>
  </si>
  <si>
    <t>retention bonuses of $20,000 to stay on for at least 18 months.</t>
  </si>
  <si>
    <t xml:space="preserve">   G&amp;A Expense Synergy</t>
  </si>
  <si>
    <t>Offer</t>
  </si>
  <si>
    <t>Per Share</t>
  </si>
  <si>
    <t xml:space="preserve">The 45 employees involved in the design, sales and marketing of toys will be integrated into </t>
  </si>
  <si>
    <t>he will be able to increase the rent. At most we expect to pay an estimated 3 months of rent as</t>
  </si>
  <si>
    <r>
      <t xml:space="preserve">Comparable Firms - Earnings Valuation </t>
    </r>
    <r>
      <rPr>
        <vertAlign val="superscript"/>
        <sz val="10"/>
        <rFont val="Arial"/>
        <family val="2"/>
      </rPr>
      <t>3)</t>
    </r>
  </si>
  <si>
    <r>
      <t xml:space="preserve">Comparable Firms - Sales Valuation </t>
    </r>
    <r>
      <rPr>
        <vertAlign val="superscript"/>
        <sz val="10"/>
        <rFont val="Arial"/>
        <family val="2"/>
      </rPr>
      <t xml:space="preserve"> 3)</t>
    </r>
  </si>
  <si>
    <t>3) See "Relative Valuations Summary".</t>
  </si>
  <si>
    <t>2) The initial offer price will be based on 30% synergy sharing.</t>
  </si>
  <si>
    <t>Estimated Time Frame</t>
  </si>
  <si>
    <t>Duration</t>
  </si>
  <si>
    <t>Deadline</t>
  </si>
  <si>
    <t>Manager</t>
  </si>
  <si>
    <t>Pre-Acquisition</t>
  </si>
  <si>
    <t>Search</t>
  </si>
  <si>
    <t>3 weeks</t>
  </si>
  <si>
    <t>COO</t>
  </si>
  <si>
    <t>Screen</t>
  </si>
  <si>
    <t>Exec Staff</t>
  </si>
  <si>
    <t>First Contact</t>
  </si>
  <si>
    <t>President</t>
  </si>
  <si>
    <t>Negotiation</t>
  </si>
  <si>
    <t xml:space="preserve">  Refine Value</t>
  </si>
  <si>
    <t>11 weeks</t>
  </si>
  <si>
    <t>CFO</t>
  </si>
  <si>
    <t xml:space="preserve">  Structure Deal</t>
  </si>
  <si>
    <t>9 weeks</t>
  </si>
  <si>
    <t xml:space="preserve">  Due Diligence</t>
  </si>
  <si>
    <t>8 weeks</t>
  </si>
  <si>
    <t xml:space="preserve">  Financing</t>
  </si>
  <si>
    <t>1 week</t>
  </si>
  <si>
    <t>Implementation Planning</t>
  </si>
  <si>
    <t>CLOSING</t>
  </si>
  <si>
    <t>Post-Acquisition</t>
  </si>
  <si>
    <t>Office Closures</t>
  </si>
  <si>
    <t xml:space="preserve">  Hong Kong Office</t>
  </si>
  <si>
    <t>18 weeks</t>
  </si>
  <si>
    <t>Third Party Manufacturing Agreement Termination</t>
  </si>
  <si>
    <t>Termination of Rental Contract</t>
  </si>
  <si>
    <t xml:space="preserve">  Malibu Headquarters</t>
  </si>
  <si>
    <t xml:space="preserve">  Dexter Office</t>
  </si>
  <si>
    <t xml:space="preserve">  City of Industry Warehouse</t>
  </si>
  <si>
    <t xml:space="preserve">  New York Showroom</t>
  </si>
  <si>
    <t>Reduction of Work Force</t>
  </si>
  <si>
    <t>24 weeks</t>
  </si>
  <si>
    <t>Vice Pres HR</t>
  </si>
  <si>
    <t>Staff Relocation Program</t>
  </si>
  <si>
    <t>Communication Program</t>
  </si>
  <si>
    <t xml:space="preserve">  Public Relations  (ongoing)</t>
  </si>
  <si>
    <t>weekly</t>
  </si>
  <si>
    <t>ongoing</t>
  </si>
  <si>
    <t>Vice Pres Mrktg</t>
  </si>
  <si>
    <t xml:space="preserve">  Advertising (ongoing)</t>
  </si>
  <si>
    <t xml:space="preserve">  Corporate Materials</t>
  </si>
  <si>
    <t xml:space="preserve">  Website</t>
  </si>
  <si>
    <t>27 weeks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</si>
  <si>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</si>
  <si>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</si>
  <si>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</si>
  <si>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</si>
  <si>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</si>
  <si>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</si>
  <si>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</si>
  <si>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</si>
  <si>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</si>
  <si>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</si>
  <si>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</si>
  <si>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</si>
  <si>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wk1</t>
  </si>
  <si>
    <t>wk2</t>
  </si>
  <si>
    <t>wk3</t>
  </si>
  <si>
    <t>wk4</t>
  </si>
  <si>
    <t>wk5</t>
  </si>
  <si>
    <t>Initiate Action</t>
  </si>
  <si>
    <t>Complete</t>
  </si>
  <si>
    <t>Interview</t>
  </si>
  <si>
    <t>Announcement</t>
  </si>
  <si>
    <t>Holiday Ad Campaign</t>
  </si>
  <si>
    <t>Launch</t>
  </si>
  <si>
    <t>Fully Integrated</t>
  </si>
  <si>
    <t>Development/Ongoing</t>
  </si>
  <si>
    <t>Target Completion Date</t>
  </si>
  <si>
    <t>Please be aware that a number of worksheets use the "iteration" calculation option of Excel.</t>
  </si>
  <si>
    <t>BP_App_B1</t>
  </si>
  <si>
    <t>BP_App_B2</t>
  </si>
  <si>
    <t>BP_App_B3</t>
  </si>
  <si>
    <t>BP_App_B4</t>
  </si>
  <si>
    <t>AP_App_A1</t>
  </si>
  <si>
    <t>AP_App_A2</t>
  </si>
  <si>
    <t>AP_App_B1</t>
  </si>
  <si>
    <t>AP_App_B3</t>
  </si>
  <si>
    <t>AP_App_C</t>
  </si>
  <si>
    <t>AP_App_D</t>
  </si>
  <si>
    <t>AP_App_E</t>
  </si>
  <si>
    <t>AP_App_F</t>
  </si>
  <si>
    <t>AP_App_G</t>
  </si>
  <si>
    <t>This option may have to be turned on for the worksheets to operate correctly. If the program gives</t>
  </si>
  <si>
    <t xml:space="preserve">Addendum: Working Capital </t>
  </si>
  <si>
    <t xml:space="preserve">  DECISION: Proceed/Walk Away</t>
  </si>
  <si>
    <t xml:space="preserve">The purpose of this Microsoft Excel spreadsheet model is to provide an </t>
  </si>
  <si>
    <t xml:space="preserve">an example of how the model </t>
  </si>
  <si>
    <t>Determine Acquirer and Target Standalone Valuations</t>
  </si>
  <si>
    <t>Worksheet Title</t>
  </si>
  <si>
    <t>Step</t>
  </si>
  <si>
    <t xml:space="preserve">     Acquirer Historical Data and Ratios</t>
  </si>
  <si>
    <t xml:space="preserve">     Acquirer Debt Repayment Schedules</t>
  </si>
  <si>
    <t xml:space="preserve">     Target Historical Data and Ratios</t>
  </si>
  <si>
    <t xml:space="preserve">     Synergy Estimation   </t>
  </si>
  <si>
    <t xml:space="preserve">     Alternative Valuation Summaries</t>
  </si>
  <si>
    <t>Determine Initial Offer Price for Target Firm</t>
  </si>
  <si>
    <t>Appendix A</t>
  </si>
  <si>
    <t>Appendix B</t>
  </si>
  <si>
    <t>Acquisition Timeline</t>
  </si>
  <si>
    <t>Christian Klawitter, Kenin McConahey, and Addie Stalk entitled "Mattel Proposes to Buy JAKKS</t>
  </si>
  <si>
    <r>
      <t>1</t>
    </r>
    <r>
      <rPr>
        <sz val="10"/>
        <rFont val="Arial"/>
        <family val="0"/>
      </rPr>
      <t xml:space="preserve">This illustration was adapted from a Loyola Marymount University MBA paper by Jon Murray, </t>
    </r>
  </si>
  <si>
    <t>Step 1: Acquirer 5-Year Forecast and Standalone Valuation</t>
  </si>
  <si>
    <t>Step 1 Continued: Acquirer Historical Data and Ratios</t>
  </si>
  <si>
    <t>Step 1 Continued: Acquirer Debt Repayment Schedules</t>
  </si>
  <si>
    <t>Step 1 Continued: Acquirer Cost of Equity and Capital Calculations</t>
  </si>
  <si>
    <t>Step 1 Continued: Target Cost of Equity and Capital Calculation</t>
  </si>
  <si>
    <t>Step 2 Continued: Synergy Estimation</t>
  </si>
  <si>
    <t>Step 3 Continued: Alternative Valuation Summaries</t>
  </si>
  <si>
    <t>Appendix A: Acquisition Timeline</t>
  </si>
  <si>
    <t>Addendum: Check</t>
  </si>
  <si>
    <t>1) The historical financial statements have been adjusted for the discontinued operations.</t>
  </si>
  <si>
    <t>2) For the long-term, the Acquirer believes its weighted average cost of funds is the appropriate measure</t>
  </si>
  <si>
    <t>The Acquirer's business plan refocuses the company to capitalize on its core strengths. The firm's traditional markets are mature.</t>
  </si>
  <si>
    <t>Acquirer's Unlevered Beta</t>
  </si>
  <si>
    <t>Acquirer's Cost of Debt</t>
  </si>
  <si>
    <t>Acquirer's Cost of Equity</t>
  </si>
  <si>
    <t xml:space="preserve">Acquirer's Weighted Cost of Capital </t>
  </si>
  <si>
    <t>1) If the firm is a public company, the levered beta may be estimated directly.  However, if it is a private firm, an unlevered beta associated with a comparable</t>
  </si>
  <si>
    <t xml:space="preserve">   company may be adjusted for the leverage of the firm for which the levered beta is to be calculated.</t>
  </si>
  <si>
    <t>Cost of Capital: Terminal Period (%)</t>
  </si>
  <si>
    <t xml:space="preserve">   1.5% is added to the cost of capital to create the adjusted cost of capital.  The magnitude of this adjustment is based on what the analyst believes</t>
  </si>
  <si>
    <t xml:space="preserve">    The Target expects an increase in licensing income but for the valuation this income has been held stable through 2005.</t>
  </si>
  <si>
    <t>3) The terminal period cost of capital is reduced to 11.5%. The Target's cost of capital will remain higher than that of the Acquirer's because of its low leverage.</t>
  </si>
  <si>
    <t>The Target has realized cost of sales efficiencies in their recent acquisitions.  They have reduced licensing and royalty payouts by acquiring technology</t>
  </si>
  <si>
    <t>The Target has experienced some growth in G&amp;A expenses due to acquisition related overhead. In a stable environment we expect overhead to normalize</t>
  </si>
  <si>
    <t>The Target is producing cash balances in excess of financing needs. Cash balances for the projected years have been forecast at a minimum</t>
  </si>
  <si>
    <t xml:space="preserve">level of 6%. This is slightly higher than the minimum level for the Acquirer (4.5%) because the Target's smaller balance sheet provides </t>
  </si>
  <si>
    <t>Target's Unlevered Beta</t>
  </si>
  <si>
    <t>Target's Cost of Equity</t>
  </si>
  <si>
    <t>Addendum: Working Capital</t>
  </si>
  <si>
    <t>a result of the Acquirer's buying power.</t>
  </si>
  <si>
    <t>the Acquirer's divisions.  The 25 employees working at the New Brunswick warehouse will be retained.</t>
  </si>
  <si>
    <r>
      <t>Acquirer Share Price</t>
    </r>
    <r>
      <rPr>
        <vertAlign val="superscript"/>
        <sz val="10"/>
        <rFont val="Arial"/>
        <family val="2"/>
      </rPr>
      <t xml:space="preserve"> 1)</t>
    </r>
  </si>
  <si>
    <r>
      <t xml:space="preserve">Target Share Price </t>
    </r>
    <r>
      <rPr>
        <vertAlign val="superscript"/>
        <sz val="10"/>
        <rFont val="Arial"/>
        <family val="2"/>
      </rPr>
      <t>1)</t>
    </r>
  </si>
  <si>
    <t xml:space="preserve">  Acquirer</t>
  </si>
  <si>
    <t xml:space="preserve">  Target</t>
  </si>
  <si>
    <t xml:space="preserve">     Acquirer shareholders (%)</t>
  </si>
  <si>
    <t xml:space="preserve">     Target shareholders (%)</t>
  </si>
  <si>
    <t>New Shares Issued by Acquirer</t>
  </si>
  <si>
    <t>Total Shares Outstanding Acquirer after acquisition</t>
  </si>
  <si>
    <t>Consolidated Acquirer + Target</t>
  </si>
  <si>
    <t>Acquirer</t>
  </si>
  <si>
    <t>Target</t>
  </si>
  <si>
    <t>Pacific," May 2, 2002.  The author would like to acknowledge the special contribution Addie Stalk</t>
  </si>
  <si>
    <t>Short Name</t>
  </si>
  <si>
    <t>of worksheets needed to satisfy the requirements of each step.  Each worksheet is identified by a self-</t>
  </si>
  <si>
    <t>complete the transaction.</t>
  </si>
  <si>
    <t>AP_App_B2</t>
  </si>
  <si>
    <t xml:space="preserve">     Offer Price Determination</t>
  </si>
  <si>
    <t>Step 4: Combined Firms' Financing Capacity</t>
  </si>
  <si>
    <t>should be altered to reflect the unique characteristics of each situation.</t>
  </si>
  <si>
    <r>
      <t>for constructing M&amp;A financial models.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 As such, the spreadsheet model contained on this diskette  </t>
    </r>
  </si>
  <si>
    <t>explanatory title and the "short name" used in developing the worksheet linkages.  Appendices A and</t>
  </si>
  <si>
    <t>Illustrating the Deal Structuring and Valuation Process</t>
  </si>
  <si>
    <t>B include the projected timeline, milestones, and individual(s) responsible for each activity required to</t>
  </si>
  <si>
    <t xml:space="preserve">you a "circular reference warning," please go to Tools, Options, Calculation and turn on the </t>
  </si>
  <si>
    <t>made to this paper.</t>
  </si>
  <si>
    <t xml:space="preserve">     Acquirer 5-Year Forecast and Standalone Valuation</t>
  </si>
  <si>
    <t>Step 1 Continued: Target 5- Year Forecast and Standalone Valuation</t>
  </si>
  <si>
    <t xml:space="preserve">     Target 5-Year Forecast and Standalone Valuation</t>
  </si>
  <si>
    <t>Step 3: Offer Price Determination</t>
  </si>
  <si>
    <t xml:space="preserve">iteration feature. Ten iterations will usually be enough to solve any circular reference; however, </t>
  </si>
  <si>
    <t>- the elimination of approximately 350 positions at the US-based headquarters and in certain other subsidiaries.</t>
  </si>
  <si>
    <t>A blended rate, combining non-interest bearing deposits and marketable securities, is used in the forecast.</t>
  </si>
  <si>
    <t xml:space="preserve">The interest on Current Debt is calculated based on the existing interest rates on the debt.  </t>
  </si>
  <si>
    <t>Other Assets include $515 million in deferred income taxes. Without this amount the ratio of Other Assets / Sales would have</t>
  </si>
  <si>
    <t>expected to grow in line with sales during the forecast period.</t>
  </si>
  <si>
    <t>The Acquirer has a $1 billion unsecured committed facility for seasonal financing, as well</t>
  </si>
  <si>
    <t>2) The analyst in this instance believes the estimated cost of debt and equity does not adequately account for risk that is specific to the firm.  Therefore,</t>
  </si>
  <si>
    <t xml:space="preserve">   to be the cost of capital for firms exhibiting risk comparable to the Acquirer.</t>
  </si>
  <si>
    <t>2) The Target receives certain licensing income from a joint venture.  In 2000 this licensing income was $15.9 million.</t>
  </si>
  <si>
    <t>During the last few years, the Target has acquired several small companies which have contributed to its large growth in net sales. For purposes of the valuation,</t>
  </si>
  <si>
    <t>Plus: Excess Cash (Investments)</t>
  </si>
  <si>
    <t>Acquirer's Forecast</t>
  </si>
  <si>
    <t>of EPS after</t>
  </si>
  <si>
    <t>Company 1</t>
  </si>
  <si>
    <t>Company 2</t>
  </si>
  <si>
    <t>Company 3</t>
  </si>
  <si>
    <t>Company 4</t>
  </si>
  <si>
    <t>Company 5</t>
  </si>
  <si>
    <t>TARGET PROJECTED SALES (2001)</t>
  </si>
  <si>
    <t>TARGET PROJECTED EARNINGS (2001)</t>
  </si>
  <si>
    <t>PROJECTED VALUE OF TARGET (In millions)</t>
  </si>
  <si>
    <t>Based on 426 million existing Acquirer shares and</t>
  </si>
  <si>
    <r>
      <t>Resulting Earnings Per Share After Acquisitions</t>
    </r>
    <r>
      <rPr>
        <b/>
        <vertAlign val="superscript"/>
        <sz val="10"/>
        <rFont val="Arial"/>
        <family val="2"/>
      </rPr>
      <t>4</t>
    </r>
  </si>
  <si>
    <t xml:space="preserve">   by the acquirer.  New shares issued equals the number of target shares outstanding times the share exchange ratio (SER).  Consolidated EPS will decline</t>
  </si>
  <si>
    <t xml:space="preserve">   as the offer price increases as more shares of acquirer stock must be issued for each share of target stock outstanding.</t>
  </si>
  <si>
    <t xml:space="preserve">counter-offers during deal negotiations.  The model is intended to serve as a template or pattern </t>
  </si>
  <si>
    <t>The spreadsheet model follows a four-step model building process.  Each step contains the number</t>
  </si>
  <si>
    <t xml:space="preserve">     Acquirer Cost of Equity and Capital Calculation</t>
  </si>
  <si>
    <t xml:space="preserve">     Target Cost of Equity and Capital Calculation</t>
  </si>
  <si>
    <t>Value Combined Acquirer and Target Firms Including Synergy</t>
  </si>
  <si>
    <t>Summary: Milestones and Responsible Individual(s)</t>
  </si>
  <si>
    <t>Plus: Depreciation and Amortization</t>
  </si>
  <si>
    <t>Less: Gross Capital Expenditures</t>
  </si>
  <si>
    <t xml:space="preserve">   to discount cash flows.</t>
  </si>
  <si>
    <t>Annual average market growth of 2% is expected over the next five years. The Acquirer's initiatives are expected to provide an additional 2% by</t>
  </si>
  <si>
    <t>- the elimination of product lines that did not meet required levels of profitability, and</t>
  </si>
  <si>
    <t>Working capital has been reduced to below desirable levels over the last few years putting a strain on the funding of current operations.</t>
  </si>
  <si>
    <t>provisions for elimination of redundant positions (see item 5). This percentage is expected to be reduced gradually over the forecast period.</t>
  </si>
  <si>
    <t>Calculation of Cost of Equity and Capital</t>
  </si>
  <si>
    <t>Step 1 Continued: Target Historical Data and Ratios</t>
  </si>
  <si>
    <t>we assume a higher growth rate than the mature industry (2-4%) in which the Target competes, because the Target derives a large portion of its sales from</t>
  </si>
  <si>
    <t>The forecast assumes no acquisitions. As a result of amortization Other Assets will decline by $5 million a year.  Note that at the time of this acquisition</t>
  </si>
  <si>
    <t>financial accounting standards still required the amortization of acquisition-related goodwill.</t>
  </si>
  <si>
    <t>less flexibility in meeting unanticipated cash needs.</t>
  </si>
  <si>
    <t>Supplemental Financial Data</t>
  </si>
  <si>
    <t>Sum</t>
  </si>
  <si>
    <t>1) The acquisition will make up a minor part of the Acquirer's total value. The Acquirer's target D/E ratio remains unchanged. Therefore, the Acquirer's cost of capital</t>
  </si>
  <si>
    <t xml:space="preserve">    has been used in the valuation of the combined companies. Although the Acquirer expects certain product lines to grow faster than the overall market for a number of </t>
  </si>
  <si>
    <t xml:space="preserve">4) Post-acquisition EPS for different offer prices equals consolidated net income after taxes divided by the sum of acquirer shares outstanding plus new shares issued </t>
  </si>
  <si>
    <t>23,836 million new shares (total shares after acquisition 449.836 million).</t>
  </si>
  <si>
    <t>COO/Exec Staff</t>
  </si>
  <si>
    <t>Treasurer</t>
  </si>
  <si>
    <t>Director of Finance</t>
  </si>
  <si>
    <t>Vice Pres Communications</t>
  </si>
  <si>
    <t xml:space="preserve">     Combined Firm's 5-Year Forecast and Valuation</t>
  </si>
  <si>
    <t>Determine Combined Firm's Ability to Finance Transaction</t>
  </si>
  <si>
    <t xml:space="preserve">     Combined Firm's Financing Capacity</t>
  </si>
  <si>
    <t>the number may vary with different versions of Excel. Individual model simulations can be most</t>
  </si>
  <si>
    <t xml:space="preserve">efficiently generated by making relatively small incremental changes to a few key assumptions </t>
  </si>
  <si>
    <t xml:space="preserve">underlying the model.  Key assumptions include such variables as sales growth and the cost of </t>
  </si>
  <si>
    <t>sales as a percent of sales.</t>
  </si>
  <si>
    <t>The interest rate on future debt will be estimated at the interest rate on Moody's A rated debt as of December 2000.</t>
  </si>
  <si>
    <t>Acquirer's Target Tax Rate</t>
  </si>
  <si>
    <t>Acquirer's Levered Beta</t>
  </si>
  <si>
    <t>Adjusted Cost of Capital</t>
  </si>
  <si>
    <t>Total Liabilities &amp; Shareholders' Equity</t>
  </si>
  <si>
    <t>15)</t>
  </si>
  <si>
    <t>and viable brands with extended life.  However, the use of outside manufacturers results in inherently higher manufacturing costs than those of the Acquirer.</t>
  </si>
  <si>
    <t>Other Assets include about $70 million in Goodwill resulting from a number of acquisitions during the period from 1997-2000.</t>
  </si>
  <si>
    <t>Step 2: Combined Firm's  5-Year Forecast and Valuation</t>
  </si>
  <si>
    <t>Total Liabilities &amp; Shareholders'  Equity</t>
  </si>
  <si>
    <t>The Acquirer will terminate 3rd party contracts as soon as possible. This will occur either at the end of</t>
  </si>
  <si>
    <t>Alameda corridor commercial space is at a premium in the City of Industry, we see no problem</t>
  </si>
  <si>
    <t>terminating the agreement or subletting space at a higher rental rate.</t>
  </si>
  <si>
    <t>The warehouse in New Brunswick fits well with the Acquirer's distribution organization and will be</t>
  </si>
  <si>
    <t>to prevent disputes, the Acquirer will provide a severance package that includes from 1 to 3 months of pay</t>
  </si>
  <si>
    <t xml:space="preserve">Proposed % of Synergy Shared with Target </t>
  </si>
  <si>
    <t>Target Shares Outstanding (Mil)</t>
  </si>
  <si>
    <t>Acquisition</t>
  </si>
  <si>
    <t xml:space="preserve">Weighted Average Valuation Calculation </t>
  </si>
  <si>
    <t>KEY ACTIVITIES</t>
  </si>
  <si>
    <t>Appendix B:  Summary: Milestones and Responsible Individual(s)</t>
  </si>
  <si>
    <t>President/COO</t>
  </si>
  <si>
    <t>President/CFO</t>
  </si>
  <si>
    <t xml:space="preserve">  Plan Financial Detail</t>
  </si>
  <si>
    <t>model contained</t>
  </si>
  <si>
    <t>tained on this CD-ROM</t>
  </si>
  <si>
    <t>- the termination of a variety of licensing and other contractual arrangements that did not deliver adequate profitability,</t>
  </si>
  <si>
    <t>Depreciation as percent of Gross Fixed Assets has been estimated at the average ratio over the historical period.</t>
  </si>
  <si>
    <t>- the closing of certain international offices, and</t>
  </si>
  <si>
    <t xml:space="preserve">Additional Risk Premium </t>
  </si>
  <si>
    <t xml:space="preserve">   years, the long-term industry growth is forecast at 4%, because the market is rapidly maturing.</t>
  </si>
  <si>
    <t>Because there is no union contract, the Acquirer has no obligation to provide severance pay; however,</t>
  </si>
  <si>
    <t>Grand total</t>
  </si>
  <si>
    <t>The Target has 155 employees in U.S. None of the employees is represented by a union.</t>
  </si>
  <si>
    <t>which in turn affects net income and the change in cash and investments.</t>
  </si>
  <si>
    <t>The use of Excel's interation capability will accommodate the "circularity or circular references"</t>
  </si>
  <si>
    <t>inherent in the model. For example, the change in cash and investments impacts interest income,</t>
  </si>
  <si>
    <t>Acquirer's Target D/(D+E) Ratio</t>
  </si>
  <si>
    <t>Forecast Assumptions 2006 - 2010</t>
  </si>
  <si>
    <t>Although G&amp;A expense shows an increase in 2004 and 2005, this percentage is expected to decrease over the next</t>
  </si>
  <si>
    <t>5,</t>
  </si>
  <si>
    <t xml:space="preserve"> 36.3% for 2004 and 28.6% for 2003.  As of December 31, 2005, the Acquirer had US Net Operating loss carry-forwards totalling $1.1 billion.</t>
  </si>
  <si>
    <t>2006-2008 is estimated at 18%, 22% and 25%.The tax rate is estimated to increase to 30% in 2009 and 37% in 2010.</t>
  </si>
  <si>
    <t>Current Liabilities as a % of Sales are above average in 2005 as a result of severance pay and other charges resulting from the</t>
  </si>
  <si>
    <t xml:space="preserve"> - Senior Notes - 2010</t>
  </si>
  <si>
    <t xml:space="preserve"> - Senior Notes-2008 </t>
  </si>
  <si>
    <t xml:space="preserve"> - Unsecured term loan-2008</t>
  </si>
  <si>
    <t>Including short-term portion that matures in 2005 that is included in Current Liabilities.  Interest rate is calculated as a weighted average of long-term, medium term, and mortgage note interest rates.</t>
  </si>
  <si>
    <t>Financial Benchmarks as of December 31, 2005</t>
  </si>
  <si>
    <t>Cost of Capital:  2006 - 2010  (%)</t>
  </si>
  <si>
    <t xml:space="preserve">PV: 2006 - 2010 </t>
  </si>
  <si>
    <t>to 5% in 2010. Beyond 2010, the Target's growth is expected to mirror the industry's long-term 4% rate of growth.</t>
  </si>
  <si>
    <t>The interest rate on future debt will be calculate at Moody's Aaa rate for debt as of December 31, 2005.</t>
  </si>
  <si>
    <t>The Target's tax rate in 2005 was 29%.  The company's overall tax rate is favorably impacted by Hong Kong operations that pay tax at 16.5%.</t>
  </si>
  <si>
    <t>2002-2005</t>
  </si>
  <si>
    <t>The target's management is assumed to continue its 2004-2005 trend and keep debt to a minimum through 2010.</t>
  </si>
  <si>
    <t>As of 12/31/2005</t>
  </si>
  <si>
    <t>Assumes Deal closes on March 31, 2006 and actions take effect July 1, 2006.</t>
  </si>
  <si>
    <r>
      <t xml:space="preserve">will be incurred in 2006: </t>
    </r>
    <r>
      <rPr>
        <vertAlign val="superscript"/>
        <sz val="10"/>
        <rFont val="Arial"/>
        <family val="2"/>
      </rPr>
      <t>1)</t>
    </r>
  </si>
  <si>
    <t>Rental contract for Malibu Headquarters expires in July 2006.</t>
  </si>
  <si>
    <t>Rental contract for Showroom in International Toy Center expires December 2006.</t>
  </si>
  <si>
    <t>Rental contract for warehouse in City of Industry expires in 2008. Because the new</t>
  </si>
  <si>
    <t>Interest on LT, MT, &amp; Mort. Debt</t>
  </si>
  <si>
    <t>1) Share prices as of close of business on March 31, 2006..</t>
  </si>
  <si>
    <t>As of 12/31/05</t>
  </si>
  <si>
    <t>Net Sales of Combined Firms</t>
  </si>
  <si>
    <t>Incremental Sales Due to Synergy</t>
  </si>
  <si>
    <t xml:space="preserve">   Total Sales </t>
  </si>
  <si>
    <t>Balance Sheet (as of 12/31/2005)</t>
  </si>
  <si>
    <t>Note the weighted average interest rates associated with the principal repayments are used on Worksheet BP_App_B4 to calculate the dollar value of coupon in estimatin</t>
  </si>
  <si>
    <t xml:space="preserve">   Total Debt Int+Principal</t>
  </si>
  <si>
    <t>at 14.1% by 2008 and continue at that level through 2010.</t>
  </si>
  <si>
    <t xml:space="preserve">building process outlined in Chapter 9 of the textbook (Mergers and Acquisitions and Other Corporate </t>
  </si>
  <si>
    <t xml:space="preserve">(5th edition) by Donald DePamphilis can be used to develop the initial offer price and subsequent </t>
  </si>
  <si>
    <r>
      <t>PV</t>
    </r>
    <r>
      <rPr>
        <vertAlign val="subscript"/>
        <sz val="10"/>
        <rFont val="Arial"/>
        <family val="2"/>
      </rPr>
      <t xml:space="preserve">NS </t>
    </r>
    <r>
      <rPr>
        <sz val="10"/>
        <rFont val="Arial"/>
        <family val="2"/>
      </rPr>
      <t>(2) - (1)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</si>
</sst>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0.000%"/>
    <numFmt numFmtId="169" formatCode="_(* #,##0.000_);_(* \(#,##0.000\);_(* &quot;-&quot;???_);_(@_)"/>
    <numFmt numFmtId="170" formatCode="0.000"/>
    <numFmt numFmtId="171" formatCode="0.0000"/>
    <numFmt numFmtId="172" formatCode="00000"/>
    <numFmt numFmtId="173" formatCode="_(* #,##0.0_);_(* \(#,##0.0\);_(* &quot;-&quot;?_);_(@_)"/>
    <numFmt numFmtId="174" formatCode="&quot;$&quot;#,##0.0_);[Red]\(&quot;$&quot;#,##0.0\)"/>
    <numFmt numFmtId="175" formatCode="0.0"/>
    <numFmt numFmtId="176" formatCode="_(* #,##0.0000_);_(* \(#,##0.0000\);_(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0.00000"/>
    <numFmt numFmtId="180" formatCode="0.0000000"/>
    <numFmt numFmtId="181" formatCode="0.000000"/>
    <numFmt numFmtId="182" formatCode="&quot;$&quot;#,##0.00"/>
    <numFmt numFmtId="183" formatCode="&quot;$&quot;#,##0.0"/>
    <numFmt numFmtId="184" formatCode="&quot;$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69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sz val="8"/>
      <color indexed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6"/>
      <color indexed="10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sz val="10"/>
      <name val="Geneva"/>
      <family val="0"/>
    </font>
    <font>
      <sz val="9"/>
      <color indexed="9"/>
      <name val="Arial"/>
      <family val="0"/>
    </font>
    <font>
      <sz val="18"/>
      <color indexed="8"/>
      <name val="Arial"/>
      <family val="0"/>
    </font>
    <font>
      <sz val="1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b/>
      <i/>
      <sz val="12"/>
      <color indexed="10"/>
      <name val="Arial"/>
      <family val="0"/>
    </font>
    <font>
      <b/>
      <sz val="12"/>
      <color indexed="10"/>
      <name val="Arial"/>
      <family val="0"/>
    </font>
    <font>
      <i/>
      <sz val="12"/>
      <name val="Arial"/>
      <family val="0"/>
    </font>
    <font>
      <sz val="10"/>
      <color indexed="8"/>
      <name val="Arial"/>
      <family val="0"/>
    </font>
    <font>
      <sz val="12"/>
      <color indexed="9"/>
      <name val="Arial"/>
      <family val="0"/>
    </font>
    <font>
      <b/>
      <sz val="14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lightDown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9"/>
      </bottom>
    </border>
    <border>
      <left style="medium"/>
      <right style="thin"/>
      <top style="thin">
        <color indexed="23"/>
      </top>
      <bottom>
        <color indexed="63"/>
      </bottom>
    </border>
    <border>
      <left style="thin"/>
      <right style="medium"/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23"/>
      </top>
      <bottom style="medium"/>
    </border>
    <border>
      <left>
        <color indexed="63"/>
      </left>
      <right style="medium"/>
      <top style="thin">
        <color indexed="23"/>
      </top>
      <bottom style="medium"/>
    </border>
    <border>
      <left style="medium"/>
      <right style="thin"/>
      <top style="thin">
        <color indexed="2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 style="thin">
        <color indexed="9"/>
      </bottom>
    </border>
    <border>
      <left>
        <color indexed="63"/>
      </left>
      <right style="medium"/>
      <top style="thin">
        <color indexed="23"/>
      </top>
      <bottom style="thin">
        <color indexed="9"/>
      </bottom>
    </border>
    <border>
      <left style="medium"/>
      <right style="thin"/>
      <top style="thin">
        <color indexed="23"/>
      </top>
      <bottom style="thin">
        <color indexed="9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5" fontId="2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0" fontId="3" fillId="0" borderId="0" xfId="0" applyFont="1" applyAlignment="1">
      <alignment/>
    </xf>
    <xf numFmtId="168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60" applyNumberFormat="1" applyFont="1" applyAlignment="1">
      <alignment/>
    </xf>
    <xf numFmtId="10" fontId="0" fillId="0" borderId="0" xfId="60" applyNumberFormat="1" applyFont="1" applyAlignment="1">
      <alignment/>
    </xf>
    <xf numFmtId="0" fontId="1" fillId="33" borderId="0" xfId="0" applyFont="1" applyFill="1" applyAlignment="1">
      <alignment horizontal="center"/>
    </xf>
    <xf numFmtId="167" fontId="0" fillId="33" borderId="1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2" xfId="0" applyNumberFormat="1" applyFill="1" applyBorder="1" applyAlignment="1">
      <alignment/>
    </xf>
    <xf numFmtId="167" fontId="0" fillId="33" borderId="13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167" fontId="0" fillId="33" borderId="15" xfId="0" applyNumberFormat="1" applyFill="1" applyBorder="1" applyAlignment="1">
      <alignment/>
    </xf>
    <xf numFmtId="167" fontId="0" fillId="33" borderId="16" xfId="0" applyNumberFormat="1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7" xfId="0" applyNumberFormat="1" applyBorder="1" applyAlignment="1">
      <alignment/>
    </xf>
    <xf numFmtId="165" fontId="1" fillId="0" borderId="12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12" xfId="42" applyNumberFormat="1" applyFont="1" applyBorder="1" applyAlignment="1">
      <alignment/>
    </xf>
    <xf numFmtId="168" fontId="0" fillId="0" borderId="13" xfId="60" applyNumberFormat="1" applyFont="1" applyBorder="1" applyAlignment="1">
      <alignment/>
    </xf>
    <xf numFmtId="165" fontId="0" fillId="0" borderId="18" xfId="0" applyNumberFormat="1" applyBorder="1" applyAlignment="1">
      <alignment/>
    </xf>
    <xf numFmtId="168" fontId="0" fillId="0" borderId="19" xfId="6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8" fontId="0" fillId="0" borderId="0" xfId="60" applyNumberFormat="1" applyFont="1" applyBorder="1" applyAlignment="1">
      <alignment/>
    </xf>
    <xf numFmtId="6" fontId="0" fillId="0" borderId="0" xfId="0" applyNumberFormat="1" applyAlignment="1">
      <alignment/>
    </xf>
    <xf numFmtId="9" fontId="0" fillId="0" borderId="0" xfId="60" applyFont="1" applyAlignment="1">
      <alignment/>
    </xf>
    <xf numFmtId="165" fontId="5" fillId="0" borderId="0" xfId="0" applyNumberFormat="1" applyFont="1" applyAlignment="1">
      <alignment/>
    </xf>
    <xf numFmtId="165" fontId="1" fillId="0" borderId="0" xfId="42" applyNumberFormat="1" applyFont="1" applyAlignment="1">
      <alignment/>
    </xf>
    <xf numFmtId="44" fontId="0" fillId="0" borderId="0" xfId="44" applyFont="1" applyAlignment="1">
      <alignment/>
    </xf>
    <xf numFmtId="17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3" fontId="0" fillId="0" borderId="0" xfId="42" applyNumberFormat="1" applyFont="1" applyAlignment="1">
      <alignment/>
    </xf>
    <xf numFmtId="10" fontId="0" fillId="0" borderId="22" xfId="60" applyNumberFormat="1" applyFont="1" applyBorder="1" applyAlignment="1">
      <alignment/>
    </xf>
    <xf numFmtId="43" fontId="0" fillId="0" borderId="0" xfId="42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165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left"/>
    </xf>
    <xf numFmtId="10" fontId="0" fillId="0" borderId="0" xfId="60" applyNumberFormat="1" applyFont="1" applyAlignment="1">
      <alignment horizontal="right"/>
    </xf>
    <xf numFmtId="165" fontId="0" fillId="0" borderId="17" xfId="42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65" fontId="0" fillId="0" borderId="12" xfId="0" applyNumberFormat="1" applyBorder="1" applyAlignment="1">
      <alignment/>
    </xf>
    <xf numFmtId="0" fontId="1" fillId="0" borderId="18" xfId="42" applyNumberFormat="1" applyFont="1" applyBorder="1" applyAlignment="1">
      <alignment horizontal="center"/>
    </xf>
    <xf numFmtId="0" fontId="1" fillId="0" borderId="23" xfId="42" applyNumberFormat="1" applyFont="1" applyBorder="1" applyAlignment="1">
      <alignment horizontal="center"/>
    </xf>
    <xf numFmtId="0" fontId="1" fillId="0" borderId="19" xfId="42" applyNumberFormat="1" applyFont="1" applyBorder="1" applyAlignment="1">
      <alignment horizontal="center"/>
    </xf>
    <xf numFmtId="168" fontId="0" fillId="0" borderId="12" xfId="60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165" fontId="0" fillId="0" borderId="13" xfId="42" applyNumberFormat="1" applyFont="1" applyBorder="1" applyAlignment="1">
      <alignment/>
    </xf>
    <xf numFmtId="165" fontId="0" fillId="0" borderId="24" xfId="42" applyNumberFormat="1" applyFont="1" applyBorder="1" applyAlignment="1">
      <alignment/>
    </xf>
    <xf numFmtId="165" fontId="0" fillId="0" borderId="25" xfId="42" applyNumberFormat="1" applyFont="1" applyBorder="1" applyAlignment="1">
      <alignment/>
    </xf>
    <xf numFmtId="0" fontId="7" fillId="0" borderId="0" xfId="0" applyFont="1" applyAlignment="1">
      <alignment/>
    </xf>
    <xf numFmtId="167" fontId="0" fillId="0" borderId="0" xfId="60" applyNumberFormat="1" applyAlignment="1">
      <alignment/>
    </xf>
    <xf numFmtId="10" fontId="0" fillId="0" borderId="0" xfId="60" applyNumberFormat="1" applyAlignment="1">
      <alignment/>
    </xf>
    <xf numFmtId="167" fontId="0" fillId="0" borderId="0" xfId="60" applyNumberFormat="1" applyFont="1" applyAlignment="1">
      <alignment/>
    </xf>
    <xf numFmtId="165" fontId="0" fillId="0" borderId="0" xfId="42" applyNumberFormat="1" applyAlignment="1">
      <alignment/>
    </xf>
    <xf numFmtId="166" fontId="0" fillId="0" borderId="0" xfId="42" applyNumberFormat="1" applyAlignment="1">
      <alignment/>
    </xf>
    <xf numFmtId="165" fontId="0" fillId="0" borderId="0" xfId="42" applyNumberFormat="1" applyFont="1" applyAlignment="1">
      <alignment/>
    </xf>
    <xf numFmtId="43" fontId="0" fillId="0" borderId="0" xfId="42" applyNumberFormat="1" applyAlignment="1">
      <alignment/>
    </xf>
    <xf numFmtId="164" fontId="0" fillId="0" borderId="0" xfId="42" applyNumberFormat="1" applyAlignment="1">
      <alignment/>
    </xf>
    <xf numFmtId="44" fontId="0" fillId="0" borderId="0" xfId="44" applyAlignment="1">
      <alignment/>
    </xf>
    <xf numFmtId="0" fontId="8" fillId="0" borderId="0" xfId="0" applyFont="1" applyAlignment="1">
      <alignment/>
    </xf>
    <xf numFmtId="9" fontId="0" fillId="0" borderId="0" xfId="60" applyAlignment="1">
      <alignment/>
    </xf>
    <xf numFmtId="0" fontId="9" fillId="0" borderId="0" xfId="0" applyFont="1" applyAlignment="1">
      <alignment/>
    </xf>
    <xf numFmtId="165" fontId="10" fillId="0" borderId="0" xfId="42" applyNumberFormat="1" applyFont="1" applyAlignment="1">
      <alignment/>
    </xf>
    <xf numFmtId="0" fontId="1" fillId="0" borderId="14" xfId="0" applyFont="1" applyBorder="1" applyAlignment="1">
      <alignment horizontal="center"/>
    </xf>
    <xf numFmtId="14" fontId="1" fillId="0" borderId="16" xfId="0" applyNumberFormat="1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175" fontId="0" fillId="0" borderId="0" xfId="0" applyNumberFormat="1" applyAlignment="1">
      <alignment/>
    </xf>
    <xf numFmtId="10" fontId="0" fillId="0" borderId="22" xfId="60" applyNumberFormat="1" applyBorder="1" applyAlignment="1">
      <alignment/>
    </xf>
    <xf numFmtId="43" fontId="0" fillId="0" borderId="0" xfId="42" applyAlignment="1">
      <alignment/>
    </xf>
    <xf numFmtId="43" fontId="0" fillId="0" borderId="0" xfId="42" applyNumberFormat="1" applyFont="1" applyAlignment="1">
      <alignment/>
    </xf>
    <xf numFmtId="9" fontId="0" fillId="0" borderId="0" xfId="60" applyFont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9" xfId="0" applyFont="1" applyBorder="1" applyAlignment="1">
      <alignment/>
    </xf>
    <xf numFmtId="175" fontId="8" fillId="0" borderId="29" xfId="0" applyNumberFormat="1" applyFont="1" applyBorder="1" applyAlignment="1">
      <alignment/>
    </xf>
    <xf numFmtId="175" fontId="8" fillId="0" borderId="0" xfId="0" applyNumberFormat="1" applyFont="1" applyAlignment="1">
      <alignment/>
    </xf>
    <xf numFmtId="0" fontId="0" fillId="0" borderId="28" xfId="0" applyBorder="1" applyAlignment="1">
      <alignment/>
    </xf>
    <xf numFmtId="0" fontId="8" fillId="0" borderId="30" xfId="0" applyFont="1" applyBorder="1" applyAlignment="1">
      <alignment/>
    </xf>
    <xf numFmtId="0" fontId="0" fillId="0" borderId="31" xfId="0" applyBorder="1" applyAlignment="1">
      <alignment/>
    </xf>
    <xf numFmtId="175" fontId="8" fillId="0" borderId="32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0" fillId="0" borderId="29" xfId="0" applyBorder="1" applyAlignment="1">
      <alignment/>
    </xf>
    <xf numFmtId="0" fontId="12" fillId="0" borderId="29" xfId="0" applyFont="1" applyBorder="1" applyAlignment="1">
      <alignment horizontal="center"/>
    </xf>
    <xf numFmtId="175" fontId="8" fillId="0" borderId="29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0" fontId="12" fillId="0" borderId="28" xfId="0" applyFont="1" applyBorder="1" applyAlignment="1">
      <alignment/>
    </xf>
    <xf numFmtId="174" fontId="0" fillId="0" borderId="0" xfId="0" applyNumberFormat="1" applyAlignment="1">
      <alignment/>
    </xf>
    <xf numFmtId="165" fontId="0" fillId="0" borderId="26" xfId="42" applyNumberFormat="1" applyFont="1" applyBorder="1" applyAlignment="1">
      <alignment/>
    </xf>
    <xf numFmtId="165" fontId="0" fillId="0" borderId="26" xfId="0" applyNumberFormat="1" applyBorder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/>
    </xf>
    <xf numFmtId="43" fontId="0" fillId="0" borderId="17" xfId="0" applyNumberFormat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0" fillId="35" borderId="0" xfId="42" applyNumberFormat="1" applyFont="1" applyFill="1" applyAlignment="1">
      <alignment/>
    </xf>
    <xf numFmtId="164" fontId="0" fillId="35" borderId="17" xfId="42" applyNumberFormat="1" applyFont="1" applyFill="1" applyBorder="1" applyAlignment="1">
      <alignment/>
    </xf>
    <xf numFmtId="165" fontId="0" fillId="36" borderId="17" xfId="42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175" fontId="0" fillId="0" borderId="0" xfId="0" applyNumberFormat="1" applyAlignment="1">
      <alignment horizontal="center"/>
    </xf>
    <xf numFmtId="17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17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9" fontId="0" fillId="0" borderId="0" xfId="60" applyFont="1" applyAlignment="1">
      <alignment horizontal="right"/>
    </xf>
    <xf numFmtId="44" fontId="0" fillId="0" borderId="0" xfId="44" applyFont="1" applyAlignment="1">
      <alignment horizontal="right"/>
    </xf>
    <xf numFmtId="178" fontId="0" fillId="0" borderId="0" xfId="44" applyNumberFormat="1" applyFont="1" applyBorder="1" applyAlignment="1">
      <alignment horizontal="right"/>
    </xf>
    <xf numFmtId="178" fontId="0" fillId="0" borderId="0" xfId="44" applyNumberFormat="1" applyFont="1" applyAlignment="1">
      <alignment horizontal="right"/>
    </xf>
    <xf numFmtId="178" fontId="0" fillId="0" borderId="0" xfId="44" applyNumberFormat="1" applyFont="1" applyAlignment="1">
      <alignment horizontal="center"/>
    </xf>
    <xf numFmtId="165" fontId="15" fillId="0" borderId="0" xfId="42" applyNumberFormat="1" applyFont="1" applyAlignment="1">
      <alignment/>
    </xf>
    <xf numFmtId="0" fontId="15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75" fontId="0" fillId="33" borderId="33" xfId="0" applyNumberFormat="1" applyFill="1" applyBorder="1" applyAlignment="1">
      <alignment horizontal="left"/>
    </xf>
    <xf numFmtId="0" fontId="0" fillId="33" borderId="33" xfId="0" applyFill="1" applyBorder="1" applyAlignment="1">
      <alignment horizontal="left"/>
    </xf>
    <xf numFmtId="0" fontId="3" fillId="33" borderId="3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75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44" fontId="0" fillId="33" borderId="0" xfId="44" applyFont="1" applyFill="1" applyBorder="1" applyAlignment="1">
      <alignment horizontal="left"/>
    </xf>
    <xf numFmtId="44" fontId="0" fillId="33" borderId="13" xfId="44" applyFont="1" applyFill="1" applyBorder="1" applyAlignment="1">
      <alignment horizontal="left"/>
    </xf>
    <xf numFmtId="175" fontId="0" fillId="33" borderId="26" xfId="0" applyNumberFormat="1" applyFill="1" applyBorder="1" applyAlignment="1">
      <alignment horizontal="left"/>
    </xf>
    <xf numFmtId="0" fontId="0" fillId="33" borderId="26" xfId="0" applyFill="1" applyBorder="1" applyAlignment="1">
      <alignment horizontal="right"/>
    </xf>
    <xf numFmtId="0" fontId="0" fillId="33" borderId="26" xfId="0" applyFill="1" applyBorder="1" applyAlignment="1">
      <alignment horizontal="left"/>
    </xf>
    <xf numFmtId="44" fontId="0" fillId="33" borderId="26" xfId="44" applyFont="1" applyFill="1" applyBorder="1" applyAlignment="1">
      <alignment horizontal="left"/>
    </xf>
    <xf numFmtId="44" fontId="0" fillId="33" borderId="20" xfId="44" applyFont="1" applyFill="1" applyBorder="1" applyAlignment="1">
      <alignment horizontal="left"/>
    </xf>
    <xf numFmtId="170" fontId="0" fillId="0" borderId="0" xfId="0" applyNumberFormat="1" applyAlignment="1">
      <alignment horizontal="right"/>
    </xf>
    <xf numFmtId="175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0" fillId="0" borderId="0" xfId="44" applyFont="1" applyFill="1" applyBorder="1" applyAlignment="1">
      <alignment horizontal="left"/>
    </xf>
    <xf numFmtId="0" fontId="0" fillId="0" borderId="0" xfId="0" applyFill="1" applyAlignment="1">
      <alignment/>
    </xf>
    <xf numFmtId="175" fontId="0" fillId="35" borderId="0" xfId="0" applyNumberFormat="1" applyFill="1" applyBorder="1" applyAlignment="1">
      <alignment horizontal="left"/>
    </xf>
    <xf numFmtId="0" fontId="0" fillId="35" borderId="0" xfId="0" applyFill="1" applyBorder="1" applyAlignment="1">
      <alignment horizontal="right"/>
    </xf>
    <xf numFmtId="0" fontId="0" fillId="35" borderId="0" xfId="0" applyFill="1" applyBorder="1" applyAlignment="1">
      <alignment horizontal="left"/>
    </xf>
    <xf numFmtId="178" fontId="0" fillId="35" borderId="0" xfId="44" applyNumberFormat="1" applyFont="1" applyFill="1" applyBorder="1" applyAlignment="1">
      <alignment horizontal="left"/>
    </xf>
    <xf numFmtId="9" fontId="0" fillId="35" borderId="0" xfId="60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175" fontId="1" fillId="35" borderId="33" xfId="0" applyNumberFormat="1" applyFont="1" applyFill="1" applyBorder="1" applyAlignment="1">
      <alignment horizontal="left"/>
    </xf>
    <xf numFmtId="0" fontId="1" fillId="35" borderId="33" xfId="0" applyFont="1" applyFill="1" applyBorder="1" applyAlignment="1">
      <alignment horizontal="right"/>
    </xf>
    <xf numFmtId="0" fontId="1" fillId="35" borderId="33" xfId="0" applyFont="1" applyFill="1" applyBorder="1" applyAlignment="1">
      <alignment horizontal="left"/>
    </xf>
    <xf numFmtId="44" fontId="16" fillId="35" borderId="33" xfId="44" applyFont="1" applyFill="1" applyBorder="1" applyAlignment="1">
      <alignment horizontal="center"/>
    </xf>
    <xf numFmtId="44" fontId="16" fillId="35" borderId="11" xfId="44" applyFont="1" applyFill="1" applyBorder="1" applyAlignment="1">
      <alignment horizontal="center"/>
    </xf>
    <xf numFmtId="0" fontId="0" fillId="35" borderId="12" xfId="0" applyFill="1" applyBorder="1" applyAlignment="1">
      <alignment/>
    </xf>
    <xf numFmtId="178" fontId="0" fillId="35" borderId="13" xfId="44" applyNumberFormat="1" applyFont="1" applyFill="1" applyBorder="1" applyAlignment="1">
      <alignment horizontal="left"/>
    </xf>
    <xf numFmtId="0" fontId="0" fillId="35" borderId="21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6" xfId="0" applyFill="1" applyBorder="1" applyAlignment="1">
      <alignment horizontal="left"/>
    </xf>
    <xf numFmtId="178" fontId="0" fillId="35" borderId="19" xfId="0" applyNumberFormat="1" applyFill="1" applyBorder="1" applyAlignment="1">
      <alignment horizontal="left"/>
    </xf>
    <xf numFmtId="0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178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33" borderId="10" xfId="0" applyFont="1" applyFill="1" applyBorder="1" applyAlignment="1">
      <alignment/>
    </xf>
    <xf numFmtId="0" fontId="1" fillId="36" borderId="14" xfId="0" applyFont="1" applyFill="1" applyBorder="1" applyAlignment="1">
      <alignment horizontal="left"/>
    </xf>
    <xf numFmtId="175" fontId="1" fillId="36" borderId="15" xfId="0" applyNumberFormat="1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5" fontId="0" fillId="33" borderId="13" xfId="42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165" fontId="17" fillId="33" borderId="13" xfId="42" applyNumberFormat="1" applyFont="1" applyFill="1" applyBorder="1" applyAlignment="1">
      <alignment/>
    </xf>
    <xf numFmtId="165" fontId="1" fillId="33" borderId="13" xfId="42" applyNumberFormat="1" applyFont="1" applyFill="1" applyBorder="1" applyAlignment="1">
      <alignment/>
    </xf>
    <xf numFmtId="165" fontId="1" fillId="33" borderId="20" xfId="42" applyNumberFormat="1" applyFont="1" applyFill="1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10" fontId="0" fillId="0" borderId="16" xfId="60" applyNumberFormat="1" applyFont="1" applyBorder="1" applyAlignment="1">
      <alignment/>
    </xf>
    <xf numFmtId="165" fontId="0" fillId="36" borderId="14" xfId="42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2" fontId="0" fillId="0" borderId="34" xfId="0" applyNumberFormat="1" applyBorder="1" applyAlignment="1">
      <alignment/>
    </xf>
    <xf numFmtId="7" fontId="0" fillId="36" borderId="14" xfId="44" applyNumberFormat="1" applyFont="1" applyFill="1" applyBorder="1" applyAlignment="1">
      <alignment/>
    </xf>
    <xf numFmtId="7" fontId="0" fillId="36" borderId="15" xfId="44" applyNumberFormat="1" applyFont="1" applyFill="1" applyBorder="1" applyAlignment="1">
      <alignment/>
    </xf>
    <xf numFmtId="7" fontId="0" fillId="36" borderId="16" xfId="44" applyNumberFormat="1" applyFont="1" applyFill="1" applyBorder="1" applyAlignment="1">
      <alignment/>
    </xf>
    <xf numFmtId="0" fontId="0" fillId="36" borderId="14" xfId="0" applyFill="1" applyBorder="1" applyAlignment="1">
      <alignment horizontal="left"/>
    </xf>
    <xf numFmtId="175" fontId="0" fillId="36" borderId="15" xfId="0" applyNumberFormat="1" applyFill="1" applyBorder="1" applyAlignment="1">
      <alignment horizontal="center"/>
    </xf>
    <xf numFmtId="0" fontId="0" fillId="36" borderId="16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0" fontId="0" fillId="37" borderId="35" xfId="57" applyFont="1" applyFill="1" applyBorder="1" applyAlignment="1">
      <alignment/>
      <protection/>
    </xf>
    <xf numFmtId="0" fontId="19" fillId="37" borderId="36" xfId="57" applyFont="1" applyFill="1" applyBorder="1" applyAlignment="1">
      <alignment horizontal="right"/>
      <protection/>
    </xf>
    <xf numFmtId="0" fontId="0" fillId="38" borderId="35" xfId="57" applyFont="1" applyFill="1" applyBorder="1">
      <alignment/>
      <protection/>
    </xf>
    <xf numFmtId="0" fontId="0" fillId="38" borderId="36" xfId="57" applyFont="1" applyFill="1" applyBorder="1">
      <alignment/>
      <protection/>
    </xf>
    <xf numFmtId="0" fontId="0" fillId="38" borderId="37" xfId="57" applyFont="1" applyFill="1" applyBorder="1" applyAlignment="1">
      <alignment/>
      <protection/>
    </xf>
    <xf numFmtId="0" fontId="0" fillId="38" borderId="36" xfId="57" applyFont="1" applyFill="1" applyBorder="1" applyAlignment="1">
      <alignment/>
      <protection/>
    </xf>
    <xf numFmtId="0" fontId="0" fillId="0" borderId="0" xfId="57" applyFont="1">
      <alignment/>
      <protection/>
    </xf>
    <xf numFmtId="0" fontId="18" fillId="0" borderId="0" xfId="57">
      <alignment/>
      <protection/>
    </xf>
    <xf numFmtId="0" fontId="21" fillId="0" borderId="0" xfId="57" applyFont="1">
      <alignment/>
      <protection/>
    </xf>
    <xf numFmtId="0" fontId="6" fillId="0" borderId="38" xfId="57" applyFont="1" applyBorder="1" applyAlignment="1">
      <alignment horizontal="center"/>
      <protection/>
    </xf>
    <xf numFmtId="0" fontId="6" fillId="0" borderId="39" xfId="57" applyFont="1" applyBorder="1" applyAlignment="1">
      <alignment horizontal="center"/>
      <protection/>
    </xf>
    <xf numFmtId="0" fontId="22" fillId="0" borderId="40" xfId="57" applyFont="1" applyFill="1" applyBorder="1" applyAlignment="1">
      <alignment horizontal="center"/>
      <protection/>
    </xf>
    <xf numFmtId="0" fontId="23" fillId="0" borderId="27" xfId="57" applyFont="1" applyFill="1" applyBorder="1" applyAlignment="1">
      <alignment horizontal="center"/>
      <protection/>
    </xf>
    <xf numFmtId="0" fontId="22" fillId="0" borderId="28" xfId="57" applyFont="1" applyFill="1" applyBorder="1" applyAlignment="1">
      <alignment horizontal="center"/>
      <protection/>
    </xf>
    <xf numFmtId="0" fontId="22" fillId="0" borderId="41" xfId="57" applyFont="1" applyFill="1" applyBorder="1">
      <alignment/>
      <protection/>
    </xf>
    <xf numFmtId="0" fontId="0" fillId="0" borderId="42" xfId="57" applyFont="1" applyBorder="1">
      <alignment/>
      <protection/>
    </xf>
    <xf numFmtId="16" fontId="0" fillId="0" borderId="43" xfId="57" applyNumberFormat="1" applyFont="1" applyBorder="1">
      <alignment/>
      <protection/>
    </xf>
    <xf numFmtId="0" fontId="22" fillId="0" borderId="29" xfId="57" applyFont="1" applyFill="1" applyBorder="1" applyAlignment="1">
      <alignment horizontal="left"/>
      <protection/>
    </xf>
    <xf numFmtId="0" fontId="0" fillId="0" borderId="44" xfId="57" applyFont="1" applyBorder="1">
      <alignment/>
      <protection/>
    </xf>
    <xf numFmtId="16" fontId="0" fillId="0" borderId="45" xfId="57" applyNumberFormat="1" applyFont="1" applyBorder="1">
      <alignment/>
      <protection/>
    </xf>
    <xf numFmtId="0" fontId="0" fillId="0" borderId="45" xfId="57" applyFont="1" applyBorder="1">
      <alignment/>
      <protection/>
    </xf>
    <xf numFmtId="0" fontId="24" fillId="0" borderId="41" xfId="57" applyFont="1" applyFill="1" applyBorder="1">
      <alignment/>
      <protection/>
    </xf>
    <xf numFmtId="0" fontId="24" fillId="0" borderId="29" xfId="57" applyFont="1" applyFill="1" applyBorder="1" applyAlignment="1">
      <alignment horizontal="left"/>
      <protection/>
    </xf>
    <xf numFmtId="0" fontId="25" fillId="0" borderId="29" xfId="57" applyFont="1" applyFill="1" applyBorder="1">
      <alignment/>
      <protection/>
    </xf>
    <xf numFmtId="0" fontId="22" fillId="0" borderId="30" xfId="57" applyFont="1" applyFill="1" applyBorder="1" applyAlignment="1">
      <alignment horizontal="center"/>
      <protection/>
    </xf>
    <xf numFmtId="0" fontId="26" fillId="0" borderId="32" xfId="57" applyFont="1" applyFill="1" applyBorder="1" applyAlignment="1">
      <alignment horizontal="left"/>
      <protection/>
    </xf>
    <xf numFmtId="0" fontId="0" fillId="0" borderId="46" xfId="57" applyFont="1" applyBorder="1">
      <alignment/>
      <protection/>
    </xf>
    <xf numFmtId="16" fontId="0" fillId="0" borderId="47" xfId="57" applyNumberFormat="1" applyFont="1" applyBorder="1">
      <alignment/>
      <protection/>
    </xf>
    <xf numFmtId="0" fontId="0" fillId="0" borderId="43" xfId="57" applyFont="1" applyBorder="1">
      <alignment/>
      <protection/>
    </xf>
    <xf numFmtId="0" fontId="24" fillId="0" borderId="48" xfId="57" applyFont="1" applyFill="1" applyBorder="1">
      <alignment/>
      <protection/>
    </xf>
    <xf numFmtId="0" fontId="24" fillId="0" borderId="29" xfId="57" applyFont="1" applyFill="1" applyBorder="1">
      <alignment/>
      <protection/>
    </xf>
    <xf numFmtId="0" fontId="0" fillId="0" borderId="43" xfId="57" applyFont="1" applyBorder="1" applyAlignment="1">
      <alignment horizontal="right"/>
      <protection/>
    </xf>
    <xf numFmtId="0" fontId="0" fillId="0" borderId="45" xfId="57" applyFont="1" applyBorder="1" applyAlignment="1">
      <alignment horizontal="right"/>
      <protection/>
    </xf>
    <xf numFmtId="0" fontId="27" fillId="0" borderId="49" xfId="57" applyFont="1" applyFill="1" applyBorder="1" applyAlignment="1">
      <alignment horizontal="left"/>
      <protection/>
    </xf>
    <xf numFmtId="0" fontId="0" fillId="0" borderId="50" xfId="57" applyFont="1" applyBorder="1">
      <alignment/>
      <protection/>
    </xf>
    <xf numFmtId="16" fontId="0" fillId="0" borderId="51" xfId="57" applyNumberFormat="1" applyFont="1" applyBorder="1">
      <alignment/>
      <protection/>
    </xf>
    <xf numFmtId="0" fontId="22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left"/>
      <protection/>
    </xf>
    <xf numFmtId="0" fontId="0" fillId="0" borderId="0" xfId="57" applyFont="1" applyBorder="1">
      <alignment/>
      <protection/>
    </xf>
    <xf numFmtId="0" fontId="0" fillId="0" borderId="0" xfId="57" applyFont="1" applyAlignment="1">
      <alignment/>
      <protection/>
    </xf>
    <xf numFmtId="0" fontId="18" fillId="0" borderId="0" xfId="57" applyFont="1" applyAlignment="1">
      <alignment/>
      <protection/>
    </xf>
    <xf numFmtId="0" fontId="22" fillId="0" borderId="0" xfId="57" applyFont="1" applyFill="1" applyBorder="1" applyAlignment="1">
      <alignment horizontal="left"/>
      <protection/>
    </xf>
    <xf numFmtId="0" fontId="28" fillId="0" borderId="28" xfId="57" applyFont="1" applyFill="1" applyBorder="1" applyAlignment="1">
      <alignment horizontal="center"/>
      <protection/>
    </xf>
    <xf numFmtId="0" fontId="28" fillId="0" borderId="0" xfId="57" applyFont="1" applyFill="1">
      <alignment/>
      <protection/>
    </xf>
    <xf numFmtId="0" fontId="28" fillId="0" borderId="13" xfId="57" applyFont="1" applyFill="1" applyBorder="1">
      <alignment/>
      <protection/>
    </xf>
    <xf numFmtId="0" fontId="28" fillId="0" borderId="29" xfId="57" applyFont="1" applyFill="1" applyBorder="1" applyAlignment="1">
      <alignment/>
      <protection/>
    </xf>
    <xf numFmtId="0" fontId="28" fillId="0" borderId="13" xfId="57" applyFont="1" applyFill="1" applyBorder="1" applyAlignment="1">
      <alignment/>
      <protection/>
    </xf>
    <xf numFmtId="0" fontId="19" fillId="37" borderId="37" xfId="57" applyFont="1" applyFill="1" applyBorder="1" applyAlignment="1">
      <alignment horizontal="right"/>
      <protection/>
    </xf>
    <xf numFmtId="0" fontId="20" fillId="0" borderId="37" xfId="57" applyFont="1" applyFill="1" applyBorder="1" applyAlignment="1">
      <alignment horizontal="left" vertical="center"/>
      <protection/>
    </xf>
    <xf numFmtId="0" fontId="21" fillId="0" borderId="36" xfId="57" applyFont="1" applyFill="1" applyBorder="1" applyAlignment="1">
      <alignment horizontal="left" vertical="center"/>
      <protection/>
    </xf>
    <xf numFmtId="0" fontId="20" fillId="0" borderId="35" xfId="57" applyFont="1" applyFill="1" applyBorder="1" applyAlignment="1">
      <alignment horizontal="left" vertical="center"/>
      <protection/>
    </xf>
    <xf numFmtId="0" fontId="21" fillId="0" borderId="37" xfId="57" applyFont="1" applyFill="1" applyBorder="1" applyAlignment="1">
      <alignment horizontal="left" vertical="center"/>
      <protection/>
    </xf>
    <xf numFmtId="16" fontId="0" fillId="0" borderId="11" xfId="57" applyNumberFormat="1" applyFont="1" applyFill="1" applyBorder="1" applyAlignment="1">
      <alignment horizontal="center" vertical="center"/>
      <protection/>
    </xf>
    <xf numFmtId="16" fontId="0" fillId="0" borderId="11" xfId="57" applyNumberFormat="1" applyFont="1" applyFill="1" applyBorder="1" applyAlignment="1">
      <alignment horizontal="center" vertical="center" wrapText="1"/>
      <protection/>
    </xf>
    <xf numFmtId="16" fontId="0" fillId="0" borderId="52" xfId="57" applyNumberFormat="1" applyFont="1" applyFill="1" applyBorder="1" applyAlignment="1">
      <alignment horizontal="center" vertical="center"/>
      <protection/>
    </xf>
    <xf numFmtId="16" fontId="0" fillId="0" borderId="53" xfId="57" applyNumberFormat="1" applyFont="1" applyFill="1" applyBorder="1" applyAlignment="1">
      <alignment horizontal="center" vertical="center"/>
      <protection/>
    </xf>
    <xf numFmtId="1" fontId="0" fillId="0" borderId="54" xfId="42" applyNumberFormat="1" applyFont="1" applyFill="1" applyBorder="1" applyAlignment="1">
      <alignment horizontal="center" vertical="center"/>
    </xf>
    <xf numFmtId="1" fontId="0" fillId="0" borderId="54" xfId="42" applyNumberFormat="1" applyFont="1" applyFill="1" applyBorder="1" applyAlignment="1">
      <alignment horizontal="center" vertical="center" wrapText="1"/>
    </xf>
    <xf numFmtId="1" fontId="0" fillId="0" borderId="55" xfId="42" applyNumberFormat="1" applyFont="1" applyFill="1" applyBorder="1" applyAlignment="1">
      <alignment horizontal="center" vertical="center"/>
    </xf>
    <xf numFmtId="1" fontId="0" fillId="0" borderId="56" xfId="42" applyNumberFormat="1" applyFont="1" applyFill="1" applyBorder="1" applyAlignment="1">
      <alignment horizontal="center" vertical="center"/>
    </xf>
    <xf numFmtId="0" fontId="6" fillId="0" borderId="57" xfId="57" applyFont="1" applyFill="1" applyBorder="1" applyAlignment="1">
      <alignment horizontal="center"/>
      <protection/>
    </xf>
    <xf numFmtId="0" fontId="6" fillId="0" borderId="27" xfId="57" applyFont="1" applyFill="1" applyBorder="1" applyAlignment="1">
      <alignment horizontal="center"/>
      <protection/>
    </xf>
    <xf numFmtId="0" fontId="6" fillId="0" borderId="58" xfId="57" applyFont="1" applyFill="1" applyBorder="1" applyAlignment="1">
      <alignment horizontal="center"/>
      <protection/>
    </xf>
    <xf numFmtId="0" fontId="6" fillId="39" borderId="27" xfId="57" applyFont="1" applyFill="1" applyBorder="1" applyAlignment="1">
      <alignment horizontal="center"/>
      <protection/>
    </xf>
    <xf numFmtId="0" fontId="6" fillId="39" borderId="57" xfId="57" applyFont="1" applyFill="1" applyBorder="1" applyAlignment="1">
      <alignment horizontal="center"/>
      <protection/>
    </xf>
    <xf numFmtId="0" fontId="6" fillId="40" borderId="59" xfId="57" applyFont="1" applyFill="1" applyBorder="1" applyAlignment="1">
      <alignment horizontal="center"/>
      <protection/>
    </xf>
    <xf numFmtId="0" fontId="6" fillId="0" borderId="59" xfId="57" applyFont="1" applyFill="1" applyBorder="1" applyAlignment="1">
      <alignment horizontal="center"/>
      <protection/>
    </xf>
    <xf numFmtId="0" fontId="6" fillId="0" borderId="60" xfId="57" applyFont="1" applyFill="1" applyBorder="1" applyAlignment="1">
      <alignment horizontal="center"/>
      <protection/>
    </xf>
    <xf numFmtId="0" fontId="6" fillId="0" borderId="61" xfId="57" applyFont="1" applyFill="1" applyBorder="1" applyAlignment="1">
      <alignment horizontal="center"/>
      <protection/>
    </xf>
    <xf numFmtId="0" fontId="6" fillId="39" borderId="60" xfId="57" applyFont="1" applyFill="1" applyBorder="1" applyAlignment="1">
      <alignment horizontal="center"/>
      <protection/>
    </xf>
    <xf numFmtId="0" fontId="6" fillId="39" borderId="59" xfId="57" applyFont="1" applyFill="1" applyBorder="1" applyAlignment="1">
      <alignment horizontal="center"/>
      <protection/>
    </xf>
    <xf numFmtId="0" fontId="6" fillId="41" borderId="13" xfId="57" applyFont="1" applyFill="1" applyBorder="1" applyAlignment="1">
      <alignment horizontal="center"/>
      <protection/>
    </xf>
    <xf numFmtId="0" fontId="6" fillId="42" borderId="13" xfId="57" applyFont="1" applyFill="1" applyBorder="1" applyAlignment="1">
      <alignment horizontal="center"/>
      <protection/>
    </xf>
    <xf numFmtId="0" fontId="6" fillId="40" borderId="13" xfId="57" applyFont="1" applyFill="1" applyBorder="1" applyAlignment="1">
      <alignment horizontal="center"/>
      <protection/>
    </xf>
    <xf numFmtId="0" fontId="6" fillId="0" borderId="13" xfId="57" applyFont="1" applyFill="1" applyBorder="1" applyAlignment="1">
      <alignment horizontal="center"/>
      <protection/>
    </xf>
    <xf numFmtId="0" fontId="6" fillId="0" borderId="29" xfId="57" applyFont="1" applyFill="1" applyBorder="1" applyAlignment="1">
      <alignment horizontal="center"/>
      <protection/>
    </xf>
    <xf numFmtId="0" fontId="6" fillId="0" borderId="44" xfId="57" applyFont="1" applyFill="1" applyBorder="1" applyAlignment="1">
      <alignment horizontal="center"/>
      <protection/>
    </xf>
    <xf numFmtId="0" fontId="6" fillId="39" borderId="29" xfId="57" applyFont="1" applyFill="1" applyBorder="1" applyAlignment="1">
      <alignment horizontal="center"/>
      <protection/>
    </xf>
    <xf numFmtId="0" fontId="6" fillId="39" borderId="13" xfId="57" applyFont="1" applyFill="1" applyBorder="1" applyAlignment="1">
      <alignment horizontal="center"/>
      <protection/>
    </xf>
    <xf numFmtId="0" fontId="6" fillId="41" borderId="59" xfId="57" applyFont="1" applyFill="1" applyBorder="1" applyAlignment="1">
      <alignment horizontal="center"/>
      <protection/>
    </xf>
    <xf numFmtId="0" fontId="6" fillId="42" borderId="59" xfId="57" applyFont="1" applyFill="1" applyBorder="1" applyAlignment="1">
      <alignment horizontal="center"/>
      <protection/>
    </xf>
    <xf numFmtId="0" fontId="6" fillId="0" borderId="61" xfId="57" applyFont="1" applyFill="1" applyBorder="1" applyAlignment="1">
      <alignment horizontal="left"/>
      <protection/>
    </xf>
    <xf numFmtId="0" fontId="6" fillId="42" borderId="60" xfId="57" applyFont="1" applyFill="1" applyBorder="1" applyAlignment="1">
      <alignment horizontal="center"/>
      <protection/>
    </xf>
    <xf numFmtId="0" fontId="6" fillId="42" borderId="61" xfId="57" applyFont="1" applyFill="1" applyBorder="1" applyAlignment="1">
      <alignment horizontal="left"/>
      <protection/>
    </xf>
    <xf numFmtId="0" fontId="6" fillId="40" borderId="60" xfId="57" applyFont="1" applyFill="1" applyBorder="1" applyAlignment="1">
      <alignment horizontal="center"/>
      <protection/>
    </xf>
    <xf numFmtId="0" fontId="6" fillId="41" borderId="29" xfId="57" applyFont="1" applyFill="1" applyBorder="1" applyAlignment="1">
      <alignment horizontal="center"/>
      <protection/>
    </xf>
    <xf numFmtId="0" fontId="6" fillId="42" borderId="44" xfId="57" applyFont="1" applyFill="1" applyBorder="1" applyAlignment="1">
      <alignment horizontal="center"/>
      <protection/>
    </xf>
    <xf numFmtId="0" fontId="6" fillId="42" borderId="29" xfId="57" applyFont="1" applyFill="1" applyBorder="1" applyAlignment="1">
      <alignment horizontal="center"/>
      <protection/>
    </xf>
    <xf numFmtId="0" fontId="6" fillId="40" borderId="29" xfId="57" applyFont="1" applyFill="1" applyBorder="1" applyAlignment="1">
      <alignment horizontal="center"/>
      <protection/>
    </xf>
    <xf numFmtId="0" fontId="6" fillId="41" borderId="61" xfId="57" applyFont="1" applyFill="1" applyBorder="1" applyAlignment="1">
      <alignment horizontal="left"/>
      <protection/>
    </xf>
    <xf numFmtId="0" fontId="6" fillId="0" borderId="44" xfId="57" applyFont="1" applyFill="1" applyBorder="1" applyAlignment="1">
      <alignment horizontal="left"/>
      <protection/>
    </xf>
    <xf numFmtId="0" fontId="6" fillId="0" borderId="62" xfId="57" applyFont="1" applyFill="1" applyBorder="1" applyAlignment="1">
      <alignment horizontal="center"/>
      <protection/>
    </xf>
    <xf numFmtId="0" fontId="6" fillId="0" borderId="32" xfId="57" applyFont="1" applyFill="1" applyBorder="1" applyAlignment="1">
      <alignment horizontal="center"/>
      <protection/>
    </xf>
    <xf numFmtId="0" fontId="6" fillId="0" borderId="46" xfId="57" applyFont="1" applyFill="1" applyBorder="1" applyAlignment="1">
      <alignment horizontal="center"/>
      <protection/>
    </xf>
    <xf numFmtId="0" fontId="6" fillId="41" borderId="32" xfId="57" applyFont="1" applyFill="1" applyBorder="1" applyAlignment="1">
      <alignment horizontal="center"/>
      <protection/>
    </xf>
    <xf numFmtId="0" fontId="6" fillId="42" borderId="46" xfId="57" applyFont="1" applyFill="1" applyBorder="1" applyAlignment="1">
      <alignment horizontal="center"/>
      <protection/>
    </xf>
    <xf numFmtId="0" fontId="6" fillId="40" borderId="62" xfId="57" applyFont="1" applyFill="1" applyBorder="1" applyAlignment="1">
      <alignment horizontal="center"/>
      <protection/>
    </xf>
    <xf numFmtId="0" fontId="6" fillId="39" borderId="32" xfId="57" applyFont="1" applyFill="1" applyBorder="1" applyAlignment="1">
      <alignment horizontal="center"/>
      <protection/>
    </xf>
    <xf numFmtId="0" fontId="6" fillId="39" borderId="62" xfId="57" applyFont="1" applyFill="1" applyBorder="1" applyAlignment="1">
      <alignment horizontal="center"/>
      <protection/>
    </xf>
    <xf numFmtId="0" fontId="6" fillId="41" borderId="44" xfId="57" applyFont="1" applyFill="1" applyBorder="1" applyAlignment="1">
      <alignment horizontal="center"/>
      <protection/>
    </xf>
    <xf numFmtId="0" fontId="6" fillId="41" borderId="61" xfId="57" applyFont="1" applyFill="1" applyBorder="1" applyAlignment="1">
      <alignment horizontal="center"/>
      <protection/>
    </xf>
    <xf numFmtId="0" fontId="6" fillId="42" borderId="61" xfId="57" applyFont="1" applyFill="1" applyBorder="1" applyAlignment="1">
      <alignment horizontal="center"/>
      <protection/>
    </xf>
    <xf numFmtId="0" fontId="6" fillId="42" borderId="59" xfId="57" applyFont="1" applyFill="1" applyBorder="1" applyAlignment="1">
      <alignment horizontal="left"/>
      <protection/>
    </xf>
    <xf numFmtId="0" fontId="29" fillId="42" borderId="60" xfId="57" applyFont="1" applyFill="1" applyBorder="1" applyAlignment="1">
      <alignment horizontal="center"/>
      <protection/>
    </xf>
    <xf numFmtId="0" fontId="29" fillId="42" borderId="61" xfId="57" applyFont="1" applyFill="1" applyBorder="1" applyAlignment="1">
      <alignment horizontal="center"/>
      <protection/>
    </xf>
    <xf numFmtId="0" fontId="29" fillId="42" borderId="59" xfId="57" applyFont="1" applyFill="1" applyBorder="1" applyAlignment="1">
      <alignment horizontal="center"/>
      <protection/>
    </xf>
    <xf numFmtId="0" fontId="6" fillId="42" borderId="60" xfId="57" applyFont="1" applyFill="1" applyBorder="1" applyAlignment="1">
      <alignment horizontal="left"/>
      <protection/>
    </xf>
    <xf numFmtId="0" fontId="6" fillId="42" borderId="60" xfId="57" applyFont="1" applyFill="1" applyBorder="1" applyAlignment="1">
      <alignment horizontal="right"/>
      <protection/>
    </xf>
    <xf numFmtId="0" fontId="29" fillId="40" borderId="61" xfId="57" applyFont="1" applyFill="1" applyBorder="1" applyAlignment="1">
      <alignment horizontal="center"/>
      <protection/>
    </xf>
    <xf numFmtId="0" fontId="6" fillId="42" borderId="13" xfId="57" applyFont="1" applyFill="1" applyBorder="1" applyAlignment="1">
      <alignment horizontal="left"/>
      <protection/>
    </xf>
    <xf numFmtId="0" fontId="29" fillId="42" borderId="13" xfId="57" applyFont="1" applyFill="1" applyBorder="1" applyAlignment="1">
      <alignment horizontal="center"/>
      <protection/>
    </xf>
    <xf numFmtId="0" fontId="29" fillId="42" borderId="29" xfId="57" applyFont="1" applyFill="1" applyBorder="1" applyAlignment="1">
      <alignment horizontal="center"/>
      <protection/>
    </xf>
    <xf numFmtId="0" fontId="29" fillId="42" borderId="44" xfId="57" applyFont="1" applyFill="1" applyBorder="1" applyAlignment="1">
      <alignment horizontal="center"/>
      <protection/>
    </xf>
    <xf numFmtId="0" fontId="29" fillId="41" borderId="59" xfId="57" applyFont="1" applyFill="1" applyBorder="1" applyAlignment="1">
      <alignment horizontal="center"/>
      <protection/>
    </xf>
    <xf numFmtId="0" fontId="6" fillId="0" borderId="42" xfId="57" applyFont="1" applyFill="1" applyBorder="1" applyAlignment="1">
      <alignment horizontal="center"/>
      <protection/>
    </xf>
    <xf numFmtId="0" fontId="6" fillId="0" borderId="63" xfId="57" applyFont="1" applyFill="1" applyBorder="1" applyAlignment="1">
      <alignment horizontal="center"/>
      <protection/>
    </xf>
    <xf numFmtId="0" fontId="6" fillId="0" borderId="64" xfId="57" applyFont="1" applyFill="1" applyBorder="1" applyAlignment="1">
      <alignment horizontal="center"/>
      <protection/>
    </xf>
    <xf numFmtId="0" fontId="6" fillId="39" borderId="64" xfId="57" applyFont="1" applyFill="1" applyBorder="1" applyAlignment="1">
      <alignment horizontal="center"/>
      <protection/>
    </xf>
    <xf numFmtId="0" fontId="6" fillId="39" borderId="63" xfId="57" applyFont="1" applyFill="1" applyBorder="1" applyAlignment="1">
      <alignment horizontal="center"/>
      <protection/>
    </xf>
    <xf numFmtId="0" fontId="6" fillId="40" borderId="44" xfId="57" applyFont="1" applyFill="1" applyBorder="1" applyAlignment="1">
      <alignment horizontal="center"/>
      <protection/>
    </xf>
    <xf numFmtId="0" fontId="24" fillId="0" borderId="48" xfId="57" applyFont="1" applyFill="1" applyBorder="1" applyAlignment="1">
      <alignment horizontal="left"/>
      <protection/>
    </xf>
    <xf numFmtId="0" fontId="6" fillId="41" borderId="42" xfId="57" applyFont="1" applyFill="1" applyBorder="1" applyAlignment="1">
      <alignment horizontal="center"/>
      <protection/>
    </xf>
    <xf numFmtId="0" fontId="6" fillId="42" borderId="63" xfId="57" applyFont="1" applyFill="1" applyBorder="1" applyAlignment="1">
      <alignment horizontal="center"/>
      <protection/>
    </xf>
    <xf numFmtId="0" fontId="6" fillId="42" borderId="64" xfId="57" applyFont="1" applyFill="1" applyBorder="1" applyAlignment="1">
      <alignment horizontal="center"/>
      <protection/>
    </xf>
    <xf numFmtId="0" fontId="6" fillId="42" borderId="42" xfId="57" applyFont="1" applyFill="1" applyBorder="1" applyAlignment="1">
      <alignment horizontal="center"/>
      <protection/>
    </xf>
    <xf numFmtId="0" fontId="6" fillId="42" borderId="63" xfId="57" applyFont="1" applyFill="1" applyBorder="1" applyAlignment="1">
      <alignment horizontal="right"/>
      <protection/>
    </xf>
    <xf numFmtId="0" fontId="6" fillId="40" borderId="63" xfId="57" applyFont="1" applyFill="1" applyBorder="1" applyAlignment="1">
      <alignment horizontal="center"/>
      <protection/>
    </xf>
    <xf numFmtId="0" fontId="29" fillId="40" borderId="63" xfId="57" applyFont="1" applyFill="1" applyBorder="1" applyAlignment="1">
      <alignment horizontal="left"/>
      <protection/>
    </xf>
    <xf numFmtId="0" fontId="6" fillId="40" borderId="64" xfId="57" applyFont="1" applyFill="1" applyBorder="1" applyAlignment="1">
      <alignment horizontal="center"/>
      <protection/>
    </xf>
    <xf numFmtId="0" fontId="6" fillId="40" borderId="42" xfId="57" applyFont="1" applyFill="1" applyBorder="1" applyAlignment="1">
      <alignment horizontal="center"/>
      <protection/>
    </xf>
    <xf numFmtId="0" fontId="6" fillId="43" borderId="64" xfId="57" applyFont="1" applyFill="1" applyBorder="1" applyAlignment="1">
      <alignment horizontal="center"/>
      <protection/>
    </xf>
    <xf numFmtId="0" fontId="6" fillId="43" borderId="63" xfId="57" applyFont="1" applyFill="1" applyBorder="1" applyAlignment="1">
      <alignment horizontal="center"/>
      <protection/>
    </xf>
    <xf numFmtId="0" fontId="6" fillId="41" borderId="44" xfId="57" applyFont="1" applyFill="1" applyBorder="1" applyAlignment="1">
      <alignment horizontal="left"/>
      <protection/>
    </xf>
    <xf numFmtId="0" fontId="6" fillId="42" borderId="44" xfId="57" applyFont="1" applyFill="1" applyBorder="1" applyAlignment="1">
      <alignment horizontal="left"/>
      <protection/>
    </xf>
    <xf numFmtId="0" fontId="6" fillId="42" borderId="13" xfId="57" applyFont="1" applyFill="1" applyBorder="1" applyAlignment="1">
      <alignment horizontal="right"/>
      <protection/>
    </xf>
    <xf numFmtId="0" fontId="6" fillId="0" borderId="65" xfId="57" applyFont="1" applyFill="1" applyBorder="1" applyAlignment="1">
      <alignment horizontal="center"/>
      <protection/>
    </xf>
    <xf numFmtId="0" fontId="6" fillId="0" borderId="66" xfId="57" applyFont="1" applyFill="1" applyBorder="1" applyAlignment="1">
      <alignment horizontal="center"/>
      <protection/>
    </xf>
    <xf numFmtId="0" fontId="6" fillId="41" borderId="50" xfId="57" applyFont="1" applyFill="1" applyBorder="1" applyAlignment="1">
      <alignment horizontal="center"/>
      <protection/>
    </xf>
    <xf numFmtId="0" fontId="6" fillId="42" borderId="65" xfId="57" applyFont="1" applyFill="1" applyBorder="1" applyAlignment="1">
      <alignment horizontal="center"/>
      <protection/>
    </xf>
    <xf numFmtId="0" fontId="6" fillId="42" borderId="66" xfId="57" applyFont="1" applyFill="1" applyBorder="1" applyAlignment="1">
      <alignment horizontal="center"/>
      <protection/>
    </xf>
    <xf numFmtId="0" fontId="6" fillId="42" borderId="50" xfId="57" applyFont="1" applyFill="1" applyBorder="1" applyAlignment="1">
      <alignment horizontal="center"/>
      <protection/>
    </xf>
    <xf numFmtId="0" fontId="6" fillId="42" borderId="65" xfId="57" applyFont="1" applyFill="1" applyBorder="1" applyAlignment="1">
      <alignment horizontal="right"/>
      <protection/>
    </xf>
    <xf numFmtId="0" fontId="6" fillId="40" borderId="65" xfId="57" applyFont="1" applyFill="1" applyBorder="1" applyAlignment="1">
      <alignment horizontal="center"/>
      <protection/>
    </xf>
    <xf numFmtId="0" fontId="6" fillId="42" borderId="66" xfId="57" applyFont="1" applyFill="1" applyBorder="1" applyAlignment="1">
      <alignment horizontal="right"/>
      <protection/>
    </xf>
    <xf numFmtId="0" fontId="6" fillId="40" borderId="50" xfId="57" applyFont="1" applyFill="1" applyBorder="1" applyAlignment="1">
      <alignment horizontal="center"/>
      <protection/>
    </xf>
    <xf numFmtId="0" fontId="6" fillId="0" borderId="50" xfId="57" applyFont="1" applyFill="1" applyBorder="1" applyAlignment="1">
      <alignment horizontal="center"/>
      <protection/>
    </xf>
    <xf numFmtId="0" fontId="6" fillId="39" borderId="66" xfId="57" applyFont="1" applyFill="1" applyBorder="1" applyAlignment="1">
      <alignment horizontal="center"/>
      <protection/>
    </xf>
    <xf numFmtId="0" fontId="6" fillId="39" borderId="65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67" xfId="57" applyFont="1" applyFill="1" applyBorder="1" applyAlignment="1">
      <alignment horizontal="center"/>
      <protection/>
    </xf>
    <xf numFmtId="0" fontId="18" fillId="0" borderId="0" xfId="57" applyBorder="1">
      <alignment/>
      <protection/>
    </xf>
    <xf numFmtId="0" fontId="18" fillId="41" borderId="22" xfId="57" applyFill="1" applyBorder="1">
      <alignment/>
      <protection/>
    </xf>
    <xf numFmtId="0" fontId="18" fillId="0" borderId="18" xfId="57" applyBorder="1">
      <alignment/>
      <protection/>
    </xf>
    <xf numFmtId="0" fontId="18" fillId="0" borderId="23" xfId="57" applyBorder="1">
      <alignment/>
      <protection/>
    </xf>
    <xf numFmtId="0" fontId="18" fillId="0" borderId="19" xfId="57" applyBorder="1">
      <alignment/>
      <protection/>
    </xf>
    <xf numFmtId="0" fontId="18" fillId="42" borderId="22" xfId="57" applyFill="1" applyBorder="1">
      <alignment/>
      <protection/>
    </xf>
    <xf numFmtId="0" fontId="28" fillId="0" borderId="0" xfId="57" applyFont="1" applyFill="1" applyBorder="1" applyAlignment="1">
      <alignment/>
      <protection/>
    </xf>
    <xf numFmtId="0" fontId="18" fillId="40" borderId="22" xfId="57" applyFill="1" applyBorder="1">
      <alignment/>
      <protection/>
    </xf>
    <xf numFmtId="0" fontId="18" fillId="0" borderId="0" xfId="57" applyFill="1">
      <alignment/>
      <protection/>
    </xf>
    <xf numFmtId="0" fontId="28" fillId="0" borderId="0" xfId="57" applyFont="1" applyFill="1" applyBorder="1">
      <alignment/>
      <protection/>
    </xf>
    <xf numFmtId="0" fontId="0" fillId="44" borderId="0" xfId="0" applyFill="1" applyAlignment="1">
      <alignment/>
    </xf>
    <xf numFmtId="165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43" xfId="57" applyNumberFormat="1" applyFont="1" applyBorder="1" applyAlignment="1">
      <alignment horizontal="right"/>
      <protection/>
    </xf>
    <xf numFmtId="0" fontId="0" fillId="44" borderId="0" xfId="0" applyFill="1" applyAlignment="1">
      <alignment vertical="top" wrapText="1"/>
    </xf>
    <xf numFmtId="0" fontId="0" fillId="44" borderId="0" xfId="0" applyFill="1" applyAlignment="1">
      <alignment horizontal="left"/>
    </xf>
    <xf numFmtId="0" fontId="0" fillId="44" borderId="0" xfId="0" applyFill="1" applyAlignment="1">
      <alignment/>
    </xf>
    <xf numFmtId="0" fontId="0" fillId="44" borderId="0" xfId="0" applyFill="1" applyBorder="1" applyAlignment="1">
      <alignment/>
    </xf>
    <xf numFmtId="9" fontId="0" fillId="36" borderId="12" xfId="60" applyFont="1" applyFill="1" applyBorder="1" applyAlignment="1">
      <alignment horizontal="center"/>
    </xf>
    <xf numFmtId="9" fontId="0" fillId="36" borderId="21" xfId="60" applyFont="1" applyFill="1" applyBorder="1" applyAlignment="1">
      <alignment horizontal="center"/>
    </xf>
    <xf numFmtId="0" fontId="1" fillId="36" borderId="12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6" xfId="0" applyFill="1" applyBorder="1" applyAlignment="1">
      <alignment/>
    </xf>
    <xf numFmtId="0" fontId="0" fillId="36" borderId="20" xfId="0" applyFill="1" applyBorder="1" applyAlignment="1">
      <alignment/>
    </xf>
    <xf numFmtId="44" fontId="0" fillId="36" borderId="10" xfId="0" applyNumberFormat="1" applyFill="1" applyBorder="1" applyAlignment="1">
      <alignment/>
    </xf>
    <xf numFmtId="44" fontId="0" fillId="36" borderId="33" xfId="0" applyNumberFormat="1" applyFill="1" applyBorder="1" applyAlignment="1">
      <alignment/>
    </xf>
    <xf numFmtId="44" fontId="0" fillId="36" borderId="11" xfId="0" applyNumberFormat="1" applyFill="1" applyBorder="1" applyAlignment="1">
      <alignment/>
    </xf>
    <xf numFmtId="44" fontId="0" fillId="36" borderId="12" xfId="0" applyNumberFormat="1" applyFill="1" applyBorder="1" applyAlignment="1">
      <alignment/>
    </xf>
    <xf numFmtId="44" fontId="0" fillId="36" borderId="0" xfId="0" applyNumberFormat="1" applyFill="1" applyBorder="1" applyAlignment="1">
      <alignment/>
    </xf>
    <xf numFmtId="44" fontId="0" fillId="36" borderId="13" xfId="0" applyNumberFormat="1" applyFill="1" applyBorder="1" applyAlignment="1">
      <alignment/>
    </xf>
    <xf numFmtId="44" fontId="0" fillId="36" borderId="21" xfId="0" applyNumberFormat="1" applyFill="1" applyBorder="1" applyAlignment="1">
      <alignment/>
    </xf>
    <xf numFmtId="44" fontId="0" fillId="36" borderId="26" xfId="0" applyNumberFormat="1" applyFill="1" applyBorder="1" applyAlignment="1">
      <alignment/>
    </xf>
    <xf numFmtId="44" fontId="0" fillId="36" borderId="20" xfId="0" applyNumberFormat="1" applyFill="1" applyBorder="1" applyAlignment="1">
      <alignment/>
    </xf>
    <xf numFmtId="10" fontId="0" fillId="44" borderId="22" xfId="60" applyNumberFormat="1" applyFont="1" applyFill="1" applyBorder="1" applyAlignment="1">
      <alignment/>
    </xf>
    <xf numFmtId="1" fontId="0" fillId="0" borderId="0" xfId="42" applyNumberFormat="1" applyFont="1" applyAlignment="1">
      <alignment/>
    </xf>
    <xf numFmtId="184" fontId="0" fillId="33" borderId="15" xfId="0" applyNumberFormat="1" applyFill="1" applyBorder="1" applyAlignment="1">
      <alignment/>
    </xf>
    <xf numFmtId="184" fontId="0" fillId="33" borderId="14" xfId="0" applyNumberFormat="1" applyFill="1" applyBorder="1" applyAlignment="1">
      <alignment/>
    </xf>
    <xf numFmtId="184" fontId="0" fillId="33" borderId="16" xfId="0" applyNumberFormat="1" applyFill="1" applyBorder="1" applyAlignment="1">
      <alignment/>
    </xf>
    <xf numFmtId="165" fontId="0" fillId="36" borderId="15" xfId="42" applyNumberFormat="1" applyFont="1" applyFill="1" applyBorder="1" applyAlignment="1">
      <alignment horizontal="center"/>
    </xf>
    <xf numFmtId="165" fontId="0" fillId="36" borderId="16" xfId="42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42" fontId="0" fillId="33" borderId="0" xfId="0" applyNumberFormat="1" applyFill="1" applyAlignment="1">
      <alignment/>
    </xf>
    <xf numFmtId="42" fontId="0" fillId="33" borderId="0" xfId="0" applyNumberFormat="1" applyFill="1" applyAlignment="1">
      <alignment horizontal="center"/>
    </xf>
    <xf numFmtId="44" fontId="0" fillId="33" borderId="0" xfId="0" applyNumberFormat="1" applyFill="1" applyAlignment="1">
      <alignment/>
    </xf>
    <xf numFmtId="174" fontId="0" fillId="33" borderId="0" xfId="0" applyNumberFormat="1" applyFill="1" applyAlignment="1">
      <alignment/>
    </xf>
    <xf numFmtId="8" fontId="0" fillId="33" borderId="0" xfId="0" applyNumberFormat="1" applyFill="1" applyAlignment="1">
      <alignment/>
    </xf>
    <xf numFmtId="168" fontId="0" fillId="0" borderId="0" xfId="0" applyNumberFormat="1" applyAlignment="1">
      <alignment/>
    </xf>
    <xf numFmtId="165" fontId="0" fillId="0" borderId="0" xfId="42" applyNumberFormat="1" applyFont="1" applyFill="1" applyBorder="1" applyAlignment="1">
      <alignment/>
    </xf>
    <xf numFmtId="0" fontId="0" fillId="44" borderId="0" xfId="0" applyFill="1" applyAlignment="1">
      <alignment horizontal="center"/>
    </xf>
    <xf numFmtId="0" fontId="2" fillId="44" borderId="0" xfId="0" applyFont="1" applyFill="1" applyAlignment="1">
      <alignment horizontal="left"/>
    </xf>
    <xf numFmtId="0" fontId="0" fillId="44" borderId="0" xfId="0" applyFill="1" applyBorder="1" applyAlignment="1">
      <alignment horizontal="center"/>
    </xf>
    <xf numFmtId="0" fontId="13" fillId="44" borderId="0" xfId="0" applyFont="1" applyFill="1" applyAlignment="1">
      <alignment/>
    </xf>
    <xf numFmtId="0" fontId="0" fillId="44" borderId="0" xfId="0" applyFill="1" applyAlignment="1">
      <alignment horizontal="left"/>
    </xf>
    <xf numFmtId="0" fontId="0" fillId="44" borderId="0" xfId="0" applyFill="1" applyAlignment="1">
      <alignment/>
    </xf>
    <xf numFmtId="0" fontId="0" fillId="44" borderId="0" xfId="0" applyFill="1" applyAlignment="1">
      <alignment horizontal="center"/>
    </xf>
    <xf numFmtId="0" fontId="2" fillId="44" borderId="0" xfId="0" applyFont="1" applyFill="1" applyAlignment="1">
      <alignment horizontal="center"/>
    </xf>
    <xf numFmtId="0" fontId="0" fillId="44" borderId="0" xfId="0" applyFill="1" applyBorder="1" applyAlignment="1">
      <alignment/>
    </xf>
    <xf numFmtId="0" fontId="1" fillId="35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33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36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36" borderId="10" xfId="0" applyFont="1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11" fillId="0" borderId="40" xfId="0" applyFont="1" applyBorder="1" applyAlignment="1">
      <alignment/>
    </xf>
    <xf numFmtId="0" fontId="0" fillId="0" borderId="67" xfId="0" applyBorder="1" applyAlignment="1">
      <alignment/>
    </xf>
    <xf numFmtId="0" fontId="0" fillId="0" borderId="27" xfId="0" applyBorder="1" applyAlignment="1">
      <alignment/>
    </xf>
    <xf numFmtId="175" fontId="0" fillId="35" borderId="0" xfId="0" applyNumberFormat="1" applyFill="1" applyAlignment="1">
      <alignment horizontal="center"/>
    </xf>
    <xf numFmtId="175" fontId="0" fillId="0" borderId="26" xfId="0" applyNumberFormat="1" applyBorder="1" applyAlignment="1">
      <alignment horizontal="center"/>
    </xf>
    <xf numFmtId="0" fontId="30" fillId="0" borderId="31" xfId="57" applyFont="1" applyFill="1" applyBorder="1" applyAlignment="1">
      <alignment horizontal="left"/>
      <protection/>
    </xf>
    <xf numFmtId="0" fontId="0" fillId="0" borderId="31" xfId="0" applyBorder="1" applyAlignment="1">
      <alignment horizontal="left"/>
    </xf>
    <xf numFmtId="0" fontId="20" fillId="0" borderId="35" xfId="57" applyFont="1" applyFill="1" applyBorder="1" applyAlignment="1">
      <alignment horizontal="center" vertical="center"/>
      <protection/>
    </xf>
    <xf numFmtId="0" fontId="20" fillId="0" borderId="36" xfId="57" applyFont="1" applyFill="1" applyBorder="1" applyAlignment="1">
      <alignment horizontal="center" vertical="center"/>
      <protection/>
    </xf>
    <xf numFmtId="16" fontId="20" fillId="0" borderId="68" xfId="57" applyNumberFormat="1" applyFont="1" applyFill="1" applyBorder="1" applyAlignment="1">
      <alignment horizontal="center"/>
      <protection/>
    </xf>
    <xf numFmtId="16" fontId="20" fillId="0" borderId="52" xfId="57" applyNumberFormat="1" applyFont="1" applyFill="1" applyBorder="1" applyAlignment="1">
      <alignment horizontal="center"/>
      <protection/>
    </xf>
    <xf numFmtId="0" fontId="30" fillId="0" borderId="30" xfId="57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6" fillId="0" borderId="69" xfId="57" applyFont="1" applyBorder="1" applyAlignment="1">
      <alignment horizontal="center"/>
      <protection/>
    </xf>
    <xf numFmtId="0" fontId="6" fillId="0" borderId="70" xfId="57" applyFont="1" applyBorder="1" applyAlignment="1">
      <alignment horizontal="center"/>
      <protection/>
    </xf>
    <xf numFmtId="16" fontId="22" fillId="0" borderId="68" xfId="57" applyNumberFormat="1" applyFont="1" applyFill="1" applyBorder="1" applyAlignment="1">
      <alignment horizontal="center"/>
      <protection/>
    </xf>
    <xf numFmtId="0" fontId="0" fillId="45" borderId="40" xfId="57" applyFont="1" applyFill="1" applyBorder="1" applyAlignment="1">
      <alignment horizontal="center"/>
      <protection/>
    </xf>
    <xf numFmtId="0" fontId="0" fillId="0" borderId="71" xfId="57" applyFont="1" applyBorder="1" applyAlignment="1">
      <alignment horizontal="center"/>
      <protection/>
    </xf>
    <xf numFmtId="0" fontId="0" fillId="0" borderId="72" xfId="0" applyBorder="1" applyAlignment="1">
      <alignment/>
    </xf>
    <xf numFmtId="0" fontId="0" fillId="0" borderId="73" xfId="57" applyFont="1" applyBorder="1" applyAlignment="1">
      <alignment horizontal="center"/>
      <protection/>
    </xf>
    <xf numFmtId="0" fontId="0" fillId="0" borderId="55" xfId="0" applyBorder="1" applyAlignment="1">
      <alignment/>
    </xf>
    <xf numFmtId="0" fontId="0" fillId="0" borderId="35" xfId="57" applyFont="1" applyBorder="1" applyAlignment="1">
      <alignment horizontal="center"/>
      <protection/>
    </xf>
    <xf numFmtId="0" fontId="0" fillId="0" borderId="36" xfId="0" applyBorder="1" applyAlignment="1">
      <alignment/>
    </xf>
    <xf numFmtId="0" fontId="32" fillId="45" borderId="28" xfId="57" applyFont="1" applyFill="1" applyBorder="1" applyAlignment="1">
      <alignment/>
      <protection/>
    </xf>
    <xf numFmtId="0" fontId="0" fillId="0" borderId="29" xfId="0" applyBorder="1" applyAlignment="1">
      <alignment/>
    </xf>
    <xf numFmtId="0" fontId="0" fillId="0" borderId="30" xfId="57" applyFont="1" applyBorder="1" applyAlignment="1">
      <alignment horizontal="center"/>
      <protection/>
    </xf>
    <xf numFmtId="0" fontId="0" fillId="0" borderId="32" xfId="0" applyBorder="1" applyAlignment="1">
      <alignment/>
    </xf>
    <xf numFmtId="0" fontId="0" fillId="0" borderId="74" xfId="57" applyFont="1" applyBorder="1" applyAlignment="1">
      <alignment horizontal="center"/>
      <protection/>
    </xf>
    <xf numFmtId="0" fontId="0" fillId="0" borderId="75" xfId="0" applyBorder="1" applyAlignment="1">
      <alignment/>
    </xf>
    <xf numFmtId="0" fontId="0" fillId="0" borderId="76" xfId="57" applyFont="1" applyBorder="1" applyAlignment="1">
      <alignment horizontal="center"/>
      <protection/>
    </xf>
    <xf numFmtId="0" fontId="0" fillId="0" borderId="66" xfId="0" applyBorder="1" applyAlignment="1">
      <alignment/>
    </xf>
    <xf numFmtId="0" fontId="0" fillId="0" borderId="77" xfId="57" applyFont="1" applyBorder="1" applyAlignment="1">
      <alignment horizontal="center"/>
      <protection/>
    </xf>
    <xf numFmtId="0" fontId="0" fillId="0" borderId="78" xfId="0" applyBorder="1" applyAlignment="1">
      <alignment/>
    </xf>
    <xf numFmtId="0" fontId="0" fillId="45" borderId="28" xfId="57" applyFont="1" applyFill="1" applyBorder="1" applyAlignment="1">
      <alignment/>
      <protection/>
    </xf>
    <xf numFmtId="0" fontId="0" fillId="0" borderId="79" xfId="57" applyFont="1" applyBorder="1" applyAlignment="1">
      <alignment horizontal="center"/>
      <protection/>
    </xf>
    <xf numFmtId="0" fontId="0" fillId="0" borderId="8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mplan_rev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27</xdr:row>
      <xdr:rowOff>142875</xdr:rowOff>
    </xdr:from>
    <xdr:to>
      <xdr:col>16</xdr:col>
      <xdr:colOff>104775</xdr:colOff>
      <xdr:row>27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5991225" y="68294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28</xdr:row>
      <xdr:rowOff>161925</xdr:rowOff>
    </xdr:from>
    <xdr:to>
      <xdr:col>16</xdr:col>
      <xdr:colOff>95250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5981700" y="7096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27</xdr:row>
      <xdr:rowOff>142875</xdr:rowOff>
    </xdr:from>
    <xdr:to>
      <xdr:col>27</xdr:col>
      <xdr:colOff>66675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8572500" y="68294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28</xdr:row>
      <xdr:rowOff>142875</xdr:rowOff>
    </xdr:from>
    <xdr:to>
      <xdr:col>30</xdr:col>
      <xdr:colOff>123825</xdr:colOff>
      <xdr:row>28</xdr:row>
      <xdr:rowOff>142875</xdr:rowOff>
    </xdr:to>
    <xdr:sp>
      <xdr:nvSpPr>
        <xdr:cNvPr id="4" name="Line 4"/>
        <xdr:cNvSpPr>
          <a:spLocks/>
        </xdr:cNvSpPr>
      </xdr:nvSpPr>
      <xdr:spPr>
        <a:xfrm>
          <a:off x="9763125" y="70770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142875</xdr:rowOff>
    </xdr:from>
    <xdr:to>
      <xdr:col>0</xdr:col>
      <xdr:colOff>0</xdr:colOff>
      <xdr:row>38</xdr:row>
      <xdr:rowOff>142875</xdr:rowOff>
    </xdr:to>
    <xdr:sp>
      <xdr:nvSpPr>
        <xdr:cNvPr id="5" name="Line 5"/>
        <xdr:cNvSpPr>
          <a:spLocks/>
        </xdr:cNvSpPr>
      </xdr:nvSpPr>
      <xdr:spPr>
        <a:xfrm>
          <a:off x="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28</xdr:row>
      <xdr:rowOff>142875</xdr:rowOff>
    </xdr:from>
    <xdr:to>
      <xdr:col>30</xdr:col>
      <xdr:colOff>123825</xdr:colOff>
      <xdr:row>28</xdr:row>
      <xdr:rowOff>142875</xdr:rowOff>
    </xdr:to>
    <xdr:sp>
      <xdr:nvSpPr>
        <xdr:cNvPr id="6" name="Line 6"/>
        <xdr:cNvSpPr>
          <a:spLocks/>
        </xdr:cNvSpPr>
      </xdr:nvSpPr>
      <xdr:spPr>
        <a:xfrm>
          <a:off x="9763125" y="70770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30</xdr:row>
      <xdr:rowOff>142875</xdr:rowOff>
    </xdr:from>
    <xdr:to>
      <xdr:col>30</xdr:col>
      <xdr:colOff>123825</xdr:colOff>
      <xdr:row>30</xdr:row>
      <xdr:rowOff>142875</xdr:rowOff>
    </xdr:to>
    <xdr:sp>
      <xdr:nvSpPr>
        <xdr:cNvPr id="7" name="Line 7"/>
        <xdr:cNvSpPr>
          <a:spLocks/>
        </xdr:cNvSpPr>
      </xdr:nvSpPr>
      <xdr:spPr>
        <a:xfrm>
          <a:off x="9763125" y="7572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27</xdr:row>
      <xdr:rowOff>142875</xdr:rowOff>
    </xdr:from>
    <xdr:to>
      <xdr:col>28</xdr:col>
      <xdr:colOff>123825</xdr:colOff>
      <xdr:row>27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2268200" y="68294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04"/>
  <sheetViews>
    <sheetView zoomScalePageLayoutView="0" workbookViewId="0" topLeftCell="A7">
      <selection activeCell="P27" sqref="P27"/>
    </sheetView>
  </sheetViews>
  <sheetFormatPr defaultColWidth="9.140625" defaultRowHeight="12.75"/>
  <cols>
    <col min="1" max="1" width="3.57421875" style="0" customWidth="1"/>
    <col min="2" max="2" width="13.7109375" style="0" customWidth="1"/>
    <col min="3" max="3" width="15.28125" style="0" customWidth="1"/>
    <col min="6" max="7" width="8.8515625" style="0" customWidth="1"/>
    <col min="8" max="8" width="19.8515625" style="0" customWidth="1"/>
    <col min="9" max="9" width="12.28125" style="0" customWidth="1"/>
  </cols>
  <sheetData>
    <row r="1" spans="2:9" ht="15.75">
      <c r="B1" s="434" t="s">
        <v>487</v>
      </c>
      <c r="C1" s="433"/>
      <c r="D1" s="433"/>
      <c r="E1" s="433"/>
      <c r="F1" s="433"/>
      <c r="G1" s="433"/>
      <c r="H1" s="433"/>
      <c r="I1" s="387"/>
    </row>
    <row r="2" spans="2:9" ht="15.75">
      <c r="B2" s="428"/>
      <c r="C2" s="392"/>
      <c r="D2" s="392"/>
      <c r="E2" s="392"/>
      <c r="F2" s="392"/>
      <c r="G2" s="392"/>
      <c r="H2" s="392"/>
      <c r="I2" s="387"/>
    </row>
    <row r="3" spans="2:9" ht="12.75" customHeight="1">
      <c r="B3" s="387" t="s">
        <v>419</v>
      </c>
      <c r="C3" s="387"/>
      <c r="D3" s="387"/>
      <c r="E3" s="387"/>
      <c r="F3" s="387"/>
      <c r="G3" s="387" t="s">
        <v>420</v>
      </c>
      <c r="H3" s="387"/>
      <c r="I3" s="387"/>
    </row>
    <row r="4" spans="2:9" ht="12.75">
      <c r="B4" s="432" t="s">
        <v>629</v>
      </c>
      <c r="C4" s="432"/>
      <c r="D4" s="432"/>
      <c r="E4" s="432"/>
      <c r="F4" s="432"/>
      <c r="G4" s="432"/>
      <c r="H4" s="432"/>
      <c r="I4" s="387"/>
    </row>
    <row r="5" spans="2:9" ht="12.75">
      <c r="B5" s="387" t="s">
        <v>630</v>
      </c>
      <c r="C5" s="387"/>
      <c r="D5" s="387"/>
      <c r="E5" s="387"/>
      <c r="F5" s="387"/>
      <c r="G5" s="387"/>
      <c r="H5" s="387"/>
      <c r="I5" s="387"/>
    </row>
    <row r="6" spans="2:9" ht="12.75">
      <c r="B6" s="387" t="s">
        <v>521</v>
      </c>
      <c r="C6" s="387"/>
      <c r="D6" s="387"/>
      <c r="E6" s="387"/>
      <c r="F6" s="387"/>
      <c r="G6" s="387"/>
      <c r="H6" s="387"/>
      <c r="I6" s="387"/>
    </row>
    <row r="7" spans="2:9" ht="14.25">
      <c r="B7" s="387" t="s">
        <v>485</v>
      </c>
      <c r="C7" s="387"/>
      <c r="D7" s="387"/>
      <c r="E7" s="387"/>
      <c r="F7" s="387"/>
      <c r="G7" s="387" t="s">
        <v>581</v>
      </c>
      <c r="H7" s="387" t="s">
        <v>582</v>
      </c>
      <c r="I7" s="387"/>
    </row>
    <row r="8" spans="2:9" ht="12.75">
      <c r="B8" s="387" t="s">
        <v>484</v>
      </c>
      <c r="C8" s="387"/>
      <c r="D8" s="387"/>
      <c r="E8" s="387"/>
      <c r="F8" s="387"/>
      <c r="G8" s="387"/>
      <c r="H8" s="387"/>
      <c r="I8" s="387"/>
    </row>
    <row r="9" spans="2:9" ht="12.75">
      <c r="B9" s="387"/>
      <c r="C9" s="387"/>
      <c r="D9" s="387"/>
      <c r="E9" s="387"/>
      <c r="F9" s="387"/>
      <c r="G9" s="387"/>
      <c r="H9" s="387"/>
      <c r="I9" s="387"/>
    </row>
    <row r="10" spans="2:9" ht="12.75">
      <c r="B10" s="387" t="s">
        <v>522</v>
      </c>
      <c r="C10" s="387"/>
      <c r="D10" s="387"/>
      <c r="E10" s="387"/>
      <c r="F10" s="387"/>
      <c r="G10" s="387"/>
      <c r="H10" s="387"/>
      <c r="I10" s="387"/>
    </row>
    <row r="11" spans="2:9" ht="12.75">
      <c r="B11" s="387" t="s">
        <v>479</v>
      </c>
      <c r="C11" s="387"/>
      <c r="D11" s="387"/>
      <c r="E11" s="387"/>
      <c r="F11" s="387"/>
      <c r="G11" s="387"/>
      <c r="H11" s="387"/>
      <c r="I11" s="387"/>
    </row>
    <row r="12" spans="2:9" ht="12.75">
      <c r="B12" s="387" t="s">
        <v>486</v>
      </c>
      <c r="C12" s="387"/>
      <c r="D12" s="387"/>
      <c r="E12" s="387"/>
      <c r="F12" s="387"/>
      <c r="G12" s="387"/>
      <c r="H12" s="387"/>
      <c r="I12" s="387"/>
    </row>
    <row r="13" spans="2:9" ht="12.75">
      <c r="B13" s="387" t="s">
        <v>488</v>
      </c>
      <c r="C13" s="387"/>
      <c r="D13" s="387"/>
      <c r="E13" s="387"/>
      <c r="F13" s="387"/>
      <c r="G13" s="387"/>
      <c r="H13" s="387"/>
      <c r="I13" s="387"/>
    </row>
    <row r="14" spans="2:9" ht="12.75">
      <c r="B14" s="387" t="s">
        <v>480</v>
      </c>
      <c r="C14" s="387"/>
      <c r="D14" s="387"/>
      <c r="E14" s="387"/>
      <c r="F14" s="387"/>
      <c r="G14" s="387"/>
      <c r="H14" s="387"/>
      <c r="I14" s="387"/>
    </row>
    <row r="15" spans="2:9" ht="12.75">
      <c r="B15" s="387"/>
      <c r="C15" s="387"/>
      <c r="D15" s="387"/>
      <c r="E15" s="387"/>
      <c r="F15" s="387"/>
      <c r="G15" s="387"/>
      <c r="H15" s="387"/>
      <c r="I15" s="387"/>
    </row>
    <row r="16" spans="2:9" ht="12.75">
      <c r="B16" s="391"/>
      <c r="C16" s="391"/>
      <c r="D16" s="391"/>
      <c r="E16" s="391"/>
      <c r="F16" s="391"/>
      <c r="G16" s="391"/>
      <c r="H16" s="391"/>
      <c r="I16" s="391"/>
    </row>
    <row r="17" spans="2:9" ht="12.75">
      <c r="B17" s="429" t="s">
        <v>423</v>
      </c>
      <c r="C17" s="433" t="s">
        <v>422</v>
      </c>
      <c r="D17" s="433"/>
      <c r="E17" s="433"/>
      <c r="F17" s="433"/>
      <c r="G17" s="387"/>
      <c r="H17" s="392" t="s">
        <v>478</v>
      </c>
      <c r="I17" s="392"/>
    </row>
    <row r="18" spans="2:9" ht="12.75">
      <c r="B18" s="427">
        <v>1</v>
      </c>
      <c r="C18" s="392" t="s">
        <v>421</v>
      </c>
      <c r="D18" s="392"/>
      <c r="E18" s="392"/>
      <c r="F18" s="392"/>
      <c r="G18" s="392"/>
      <c r="H18" s="393"/>
      <c r="I18" s="393"/>
    </row>
    <row r="19" spans="2:9" ht="12.75">
      <c r="B19" s="387"/>
      <c r="C19" s="431" t="s">
        <v>491</v>
      </c>
      <c r="D19" s="431"/>
      <c r="E19" s="431"/>
      <c r="F19" s="431"/>
      <c r="G19" s="432"/>
      <c r="H19" s="393" t="s">
        <v>403</v>
      </c>
      <c r="I19" s="393"/>
    </row>
    <row r="20" spans="2:9" ht="12.75">
      <c r="B20" s="387"/>
      <c r="C20" s="432" t="s">
        <v>424</v>
      </c>
      <c r="D20" s="432"/>
      <c r="E20" s="432"/>
      <c r="F20" s="432"/>
      <c r="G20" s="387"/>
      <c r="H20" s="393" t="s">
        <v>404</v>
      </c>
      <c r="I20" s="393"/>
    </row>
    <row r="21" spans="2:9" ht="12.75">
      <c r="B21" s="387"/>
      <c r="C21" s="432" t="s">
        <v>425</v>
      </c>
      <c r="D21" s="432"/>
      <c r="E21" s="432"/>
      <c r="F21" s="432"/>
      <c r="G21" s="387"/>
      <c r="H21" s="394" t="s">
        <v>405</v>
      </c>
      <c r="I21" s="394"/>
    </row>
    <row r="22" spans="2:9" ht="12.75">
      <c r="B22" s="387"/>
      <c r="C22" s="432" t="s">
        <v>523</v>
      </c>
      <c r="D22" s="432"/>
      <c r="E22" s="432"/>
      <c r="F22" s="432"/>
      <c r="G22" s="387"/>
      <c r="H22" s="394" t="s">
        <v>406</v>
      </c>
      <c r="I22" s="394"/>
    </row>
    <row r="23" spans="2:9" ht="12.75">
      <c r="B23" s="387"/>
      <c r="C23" s="435" t="s">
        <v>493</v>
      </c>
      <c r="D23" s="435"/>
      <c r="E23" s="435"/>
      <c r="F23" s="435"/>
      <c r="G23" s="432"/>
      <c r="H23" s="394" t="s">
        <v>409</v>
      </c>
      <c r="I23" s="394"/>
    </row>
    <row r="24" spans="2:9" ht="12.75">
      <c r="B24" s="387"/>
      <c r="C24" s="435" t="s">
        <v>426</v>
      </c>
      <c r="D24" s="435"/>
      <c r="E24" s="435"/>
      <c r="F24" s="435"/>
      <c r="G24" s="387"/>
      <c r="H24" s="394" t="s">
        <v>481</v>
      </c>
      <c r="I24" s="394"/>
    </row>
    <row r="25" spans="2:9" ht="12.75">
      <c r="B25" s="387"/>
      <c r="C25" s="435" t="s">
        <v>524</v>
      </c>
      <c r="D25" s="435"/>
      <c r="E25" s="435"/>
      <c r="F25" s="435"/>
      <c r="G25" s="387"/>
      <c r="H25" s="392" t="s">
        <v>410</v>
      </c>
      <c r="I25" s="392"/>
    </row>
    <row r="26" spans="2:9" ht="12.75">
      <c r="B26" s="387"/>
      <c r="C26" s="394"/>
      <c r="D26" s="394"/>
      <c r="E26" s="394"/>
      <c r="F26" s="394"/>
      <c r="G26" s="387"/>
      <c r="H26" s="392"/>
      <c r="I26" s="392"/>
    </row>
    <row r="27" spans="2:9" ht="12.75">
      <c r="B27" s="427">
        <v>2</v>
      </c>
      <c r="C27" s="392" t="s">
        <v>525</v>
      </c>
      <c r="D27" s="392"/>
      <c r="E27" s="392"/>
      <c r="F27" s="392"/>
      <c r="G27" s="392"/>
      <c r="H27" s="392"/>
      <c r="I27" s="392"/>
    </row>
    <row r="28" spans="2:9" ht="12.75">
      <c r="B28" s="427"/>
      <c r="C28" s="431" t="s">
        <v>550</v>
      </c>
      <c r="D28" s="431"/>
      <c r="E28" s="431"/>
      <c r="F28" s="431"/>
      <c r="G28" s="431"/>
      <c r="H28" s="392" t="s">
        <v>411</v>
      </c>
      <c r="I28" s="392"/>
    </row>
    <row r="29" spans="2:9" ht="12.75">
      <c r="B29" s="427"/>
      <c r="C29" s="431" t="s">
        <v>427</v>
      </c>
      <c r="D29" s="431"/>
      <c r="E29" s="431"/>
      <c r="F29" s="431"/>
      <c r="G29" s="431"/>
      <c r="H29" s="392" t="s">
        <v>412</v>
      </c>
      <c r="I29" s="392"/>
    </row>
    <row r="30" spans="2:9" ht="12.75">
      <c r="B30" s="427"/>
      <c r="C30" s="392"/>
      <c r="D30" s="392"/>
      <c r="E30" s="392"/>
      <c r="F30" s="392"/>
      <c r="G30" s="392"/>
      <c r="H30" s="392"/>
      <c r="I30" s="392"/>
    </row>
    <row r="31" spans="2:9" ht="12.75">
      <c r="B31" s="427">
        <v>3</v>
      </c>
      <c r="C31" s="431" t="s">
        <v>429</v>
      </c>
      <c r="D31" s="431"/>
      <c r="E31" s="431"/>
      <c r="F31" s="431"/>
      <c r="G31" s="431"/>
      <c r="H31" s="392"/>
      <c r="I31" s="392"/>
    </row>
    <row r="32" spans="2:9" ht="12.75">
      <c r="B32" s="427"/>
      <c r="C32" s="392" t="s">
        <v>482</v>
      </c>
      <c r="D32" s="392"/>
      <c r="E32" s="392"/>
      <c r="F32" s="392"/>
      <c r="G32" s="392"/>
      <c r="H32" s="392" t="s">
        <v>413</v>
      </c>
      <c r="I32" s="392"/>
    </row>
    <row r="33" spans="2:9" ht="12.75">
      <c r="B33" s="427"/>
      <c r="C33" s="431" t="s">
        <v>428</v>
      </c>
      <c r="D33" s="431"/>
      <c r="E33" s="431"/>
      <c r="F33" s="431"/>
      <c r="G33" s="431"/>
      <c r="H33" s="392" t="s">
        <v>414</v>
      </c>
      <c r="I33" s="392"/>
    </row>
    <row r="34" spans="2:9" ht="12.75">
      <c r="B34" s="427"/>
      <c r="C34" s="392"/>
      <c r="D34" s="392"/>
      <c r="E34" s="392"/>
      <c r="F34" s="392"/>
      <c r="G34" s="392"/>
      <c r="H34" s="392"/>
      <c r="I34" s="392"/>
    </row>
    <row r="35" spans="2:9" ht="12.75">
      <c r="B35" s="427">
        <v>4</v>
      </c>
      <c r="C35" s="431" t="s">
        <v>551</v>
      </c>
      <c r="D35" s="431"/>
      <c r="E35" s="431"/>
      <c r="F35" s="431"/>
      <c r="G35" s="431"/>
      <c r="H35" s="392"/>
      <c r="I35" s="392"/>
    </row>
    <row r="36" spans="2:9" ht="12.75">
      <c r="B36" s="427"/>
      <c r="C36" s="392" t="s">
        <v>552</v>
      </c>
      <c r="D36" s="392"/>
      <c r="E36" s="392"/>
      <c r="F36" s="392"/>
      <c r="G36" s="392"/>
      <c r="H36" s="392" t="s">
        <v>415</v>
      </c>
      <c r="I36" s="392"/>
    </row>
    <row r="37" spans="2:9" ht="12.75">
      <c r="B37" s="427"/>
      <c r="C37" s="392"/>
      <c r="D37" s="392"/>
      <c r="E37" s="392"/>
      <c r="F37" s="392"/>
      <c r="G37" s="392"/>
      <c r="H37" s="392"/>
      <c r="I37" s="392"/>
    </row>
    <row r="38" spans="2:9" ht="12.75">
      <c r="B38" s="427" t="s">
        <v>430</v>
      </c>
      <c r="C38" s="431" t="s">
        <v>432</v>
      </c>
      <c r="D38" s="431"/>
      <c r="E38" s="431"/>
      <c r="F38" s="431"/>
      <c r="G38" s="431"/>
      <c r="H38" s="393" t="s">
        <v>407</v>
      </c>
      <c r="I38" s="393"/>
    </row>
    <row r="39" spans="2:9" ht="12.75">
      <c r="B39" s="427" t="s">
        <v>431</v>
      </c>
      <c r="C39" s="432" t="s">
        <v>526</v>
      </c>
      <c r="D39" s="432"/>
      <c r="E39" s="432"/>
      <c r="F39" s="432"/>
      <c r="G39" s="432"/>
      <c r="H39" s="387" t="s">
        <v>408</v>
      </c>
      <c r="I39" s="387"/>
    </row>
    <row r="40" spans="2:52" ht="12.75"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7"/>
      <c r="W40" s="387"/>
      <c r="X40" s="387"/>
      <c r="Y40" s="387"/>
      <c r="Z40" s="387"/>
      <c r="AA40" s="387"/>
      <c r="AB40" s="387"/>
      <c r="AC40" s="387"/>
      <c r="AD40" s="387"/>
      <c r="AE40" s="3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</row>
    <row r="41" spans="2:52" ht="12.75">
      <c r="B41" s="387" t="s">
        <v>402</v>
      </c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</row>
    <row r="42" spans="2:52" ht="12.75">
      <c r="B42" s="387" t="s">
        <v>416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</row>
    <row r="43" spans="2:52" ht="12.75">
      <c r="B43" s="387" t="s">
        <v>489</v>
      </c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7"/>
      <c r="AA43" s="387"/>
      <c r="AB43" s="387"/>
      <c r="AC43" s="387"/>
      <c r="AD43" s="387"/>
      <c r="AE43" s="3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</row>
    <row r="44" spans="2:52" ht="12.75">
      <c r="B44" s="387" t="s">
        <v>495</v>
      </c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</row>
    <row r="45" spans="2:52" ht="12.75">
      <c r="B45" s="387" t="s">
        <v>553</v>
      </c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7"/>
      <c r="W45" s="387"/>
      <c r="X45" s="387"/>
      <c r="Y45" s="387"/>
      <c r="Z45" s="387"/>
      <c r="AA45" s="387"/>
      <c r="AB45" s="387"/>
      <c r="AC45" s="387"/>
      <c r="AD45" s="387"/>
      <c r="AE45" s="3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</row>
    <row r="46" spans="2:52" ht="12.75">
      <c r="B46" s="387" t="s">
        <v>554</v>
      </c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</row>
    <row r="47" spans="2:52" ht="12.75">
      <c r="B47" s="387" t="s">
        <v>555</v>
      </c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</row>
    <row r="48" spans="2:52" ht="12.75">
      <c r="B48" s="387" t="s">
        <v>556</v>
      </c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7"/>
      <c r="W48" s="387"/>
      <c r="X48" s="387"/>
      <c r="Y48" s="387"/>
      <c r="Z48" s="387"/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</row>
    <row r="49" spans="2:52" ht="12.75"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7"/>
      <c r="W49" s="387"/>
      <c r="X49" s="387"/>
      <c r="Y49" s="387"/>
      <c r="Z49" s="387"/>
      <c r="AA49" s="387"/>
      <c r="AB49" s="387"/>
      <c r="AC49" s="387"/>
      <c r="AD49" s="387"/>
      <c r="AE49" s="3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</row>
    <row r="50" spans="2:52" ht="12.75">
      <c r="B50" s="387" t="s">
        <v>592</v>
      </c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</row>
    <row r="51" spans="2:52" ht="12.75">
      <c r="B51" s="387" t="s">
        <v>593</v>
      </c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7"/>
      <c r="W51" s="387"/>
      <c r="X51" s="387"/>
      <c r="Y51" s="387"/>
      <c r="Z51" s="387"/>
      <c r="AA51" s="387"/>
      <c r="AB51" s="387"/>
      <c r="AC51" s="387"/>
      <c r="AD51" s="387"/>
      <c r="AE51" s="3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</row>
    <row r="52" spans="2:52" ht="12.75">
      <c r="B52" s="387" t="s">
        <v>591</v>
      </c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  <c r="Y52" s="387"/>
      <c r="Z52" s="387"/>
      <c r="AA52" s="387"/>
      <c r="AB52" s="387"/>
      <c r="AC52" s="387"/>
      <c r="AD52" s="387"/>
      <c r="AE52" s="3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</row>
    <row r="53" spans="2:52" ht="12.75">
      <c r="B53" s="387"/>
      <c r="C53" s="387"/>
      <c r="D53" s="387"/>
      <c r="E53" s="387"/>
      <c r="F53" s="387"/>
      <c r="G53" s="387"/>
      <c r="H53" s="393"/>
      <c r="I53" s="393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</row>
    <row r="54" spans="2:52" ht="14.25">
      <c r="B54" s="430" t="s">
        <v>434</v>
      </c>
      <c r="C54" s="393"/>
      <c r="D54" s="393"/>
      <c r="E54" s="393"/>
      <c r="F54" s="393"/>
      <c r="G54" s="393"/>
      <c r="H54" s="393"/>
      <c r="I54" s="393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  <c r="AA54" s="387"/>
      <c r="AB54" s="387"/>
      <c r="AC54" s="387"/>
      <c r="AD54" s="387"/>
      <c r="AE54" s="3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</row>
    <row r="55" spans="2:52" ht="12.75">
      <c r="B55" s="393" t="s">
        <v>433</v>
      </c>
      <c r="C55" s="393"/>
      <c r="D55" s="393"/>
      <c r="E55" s="393"/>
      <c r="F55" s="393"/>
      <c r="G55" s="393"/>
      <c r="H55" s="393"/>
      <c r="I55" s="393"/>
      <c r="J55" s="387"/>
      <c r="K55" s="387"/>
      <c r="L55" s="387"/>
      <c r="M55" s="387"/>
      <c r="N55" s="387"/>
      <c r="O55" s="387"/>
      <c r="P55" s="387"/>
      <c r="Q55" s="387"/>
      <c r="R55" s="387"/>
      <c r="S55" s="387"/>
      <c r="T55" s="387"/>
      <c r="U55" s="387"/>
      <c r="V55" s="387"/>
      <c r="W55" s="387"/>
      <c r="X55" s="387"/>
      <c r="Y55" s="387"/>
      <c r="Z55" s="387"/>
      <c r="AA55" s="387"/>
      <c r="AB55" s="387"/>
      <c r="AC55" s="387"/>
      <c r="AD55" s="387"/>
      <c r="AE55" s="387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</row>
    <row r="56" spans="2:52" ht="12.75">
      <c r="B56" s="393" t="s">
        <v>477</v>
      </c>
      <c r="C56" s="393"/>
      <c r="D56" s="393"/>
      <c r="E56" s="393"/>
      <c r="F56" s="393"/>
      <c r="G56" s="393"/>
      <c r="H56" s="393"/>
      <c r="I56" s="393"/>
      <c r="J56" s="387"/>
      <c r="K56" s="387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</row>
    <row r="57" spans="2:52" ht="12.75">
      <c r="B57" s="393" t="s">
        <v>490</v>
      </c>
      <c r="C57" s="393"/>
      <c r="D57" s="393"/>
      <c r="E57" s="393"/>
      <c r="F57" s="393"/>
      <c r="G57" s="393"/>
      <c r="H57" s="387"/>
      <c r="I57" s="387"/>
      <c r="J57" s="387"/>
      <c r="K57" s="387"/>
      <c r="L57" s="387"/>
      <c r="M57" s="387"/>
      <c r="N57" s="387"/>
      <c r="O57" s="387"/>
      <c r="P57" s="387"/>
      <c r="Q57" s="387"/>
      <c r="R57" s="387"/>
      <c r="S57" s="387"/>
      <c r="T57" s="387"/>
      <c r="U57" s="387"/>
      <c r="V57" s="387"/>
      <c r="W57" s="387"/>
      <c r="X57" s="387"/>
      <c r="Y57" s="387"/>
      <c r="Z57" s="387"/>
      <c r="AA57" s="387"/>
      <c r="AB57" s="387"/>
      <c r="AC57" s="387"/>
      <c r="AD57" s="387"/>
      <c r="AE57" s="3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</row>
    <row r="58" spans="2:52" ht="12.75"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7"/>
      <c r="AI58" s="387"/>
      <c r="AJ58" s="387"/>
      <c r="AK58" s="387"/>
      <c r="AL58" s="387"/>
      <c r="AM58" s="387"/>
      <c r="AN58" s="387"/>
      <c r="AO58" s="387"/>
      <c r="AP58" s="387"/>
      <c r="AQ58" s="387"/>
      <c r="AR58" s="387"/>
      <c r="AS58" s="387"/>
      <c r="AT58" s="387"/>
      <c r="AU58" s="387"/>
      <c r="AV58" s="387"/>
      <c r="AW58" s="387"/>
      <c r="AX58" s="387"/>
      <c r="AY58" s="387"/>
      <c r="AZ58" s="387"/>
    </row>
    <row r="59" spans="2:52" ht="12.75">
      <c r="B59" s="387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387"/>
      <c r="AC59" s="387"/>
      <c r="AD59" s="387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387"/>
      <c r="AQ59" s="387"/>
      <c r="AR59" s="387"/>
      <c r="AS59" s="387"/>
      <c r="AT59" s="387"/>
      <c r="AU59" s="387"/>
      <c r="AV59" s="387"/>
      <c r="AW59" s="387"/>
      <c r="AX59" s="387"/>
      <c r="AY59" s="387"/>
      <c r="AZ59" s="387"/>
    </row>
    <row r="60" spans="2:52" ht="12.75">
      <c r="B60" s="387"/>
      <c r="C60" s="387"/>
      <c r="D60" s="387"/>
      <c r="E60" s="387"/>
      <c r="F60" s="387"/>
      <c r="G60" s="387"/>
      <c r="H60" s="387"/>
      <c r="I60" s="387"/>
      <c r="J60" s="387"/>
      <c r="K60" s="387"/>
      <c r="L60" s="387"/>
      <c r="M60" s="387"/>
      <c r="N60" s="387"/>
      <c r="O60" s="387"/>
      <c r="P60" s="387"/>
      <c r="Q60" s="387"/>
      <c r="R60" s="387"/>
      <c r="S60" s="387"/>
      <c r="T60" s="387"/>
      <c r="U60" s="387"/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87"/>
      <c r="AL60" s="387"/>
      <c r="AM60" s="387"/>
      <c r="AN60" s="387"/>
      <c r="AO60" s="387"/>
      <c r="AP60" s="387"/>
      <c r="AQ60" s="387"/>
      <c r="AR60" s="387"/>
      <c r="AS60" s="387"/>
      <c r="AT60" s="387"/>
      <c r="AU60" s="387"/>
      <c r="AV60" s="387"/>
      <c r="AW60" s="387"/>
      <c r="AX60" s="387"/>
      <c r="AY60" s="387"/>
      <c r="AZ60" s="387"/>
    </row>
    <row r="61" spans="2:52" ht="12.75">
      <c r="B61" s="387"/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387"/>
      <c r="R61" s="387"/>
      <c r="S61" s="387"/>
      <c r="T61" s="387"/>
      <c r="U61" s="387"/>
      <c r="V61" s="387"/>
      <c r="W61" s="387"/>
      <c r="X61" s="387"/>
      <c r="Y61" s="387"/>
      <c r="Z61" s="387"/>
      <c r="AA61" s="387"/>
      <c r="AB61" s="387"/>
      <c r="AC61" s="387"/>
      <c r="AD61" s="387"/>
      <c r="AE61" s="387"/>
      <c r="AF61" s="387"/>
      <c r="AG61" s="387"/>
      <c r="AH61" s="387"/>
      <c r="AI61" s="387"/>
      <c r="AJ61" s="387"/>
      <c r="AK61" s="387"/>
      <c r="AL61" s="387"/>
      <c r="AM61" s="387"/>
      <c r="AN61" s="387"/>
      <c r="AO61" s="387"/>
      <c r="AP61" s="387"/>
      <c r="AQ61" s="387"/>
      <c r="AR61" s="387"/>
      <c r="AS61" s="387"/>
      <c r="AT61" s="387"/>
      <c r="AU61" s="387"/>
      <c r="AV61" s="387"/>
      <c r="AW61" s="387"/>
      <c r="AX61" s="387"/>
      <c r="AY61" s="387"/>
      <c r="AZ61" s="387"/>
    </row>
    <row r="62" spans="2:52" ht="12.75">
      <c r="B62" s="387"/>
      <c r="C62" s="387"/>
      <c r="D62" s="387"/>
      <c r="E62" s="387"/>
      <c r="F62" s="387"/>
      <c r="G62" s="387"/>
      <c r="H62" s="387"/>
      <c r="I62" s="387"/>
      <c r="J62" s="387"/>
      <c r="K62" s="387"/>
      <c r="L62" s="387"/>
      <c r="M62" s="387"/>
      <c r="N62" s="387"/>
      <c r="O62" s="387"/>
      <c r="P62" s="387"/>
      <c r="Q62" s="387"/>
      <c r="R62" s="387"/>
      <c r="S62" s="387"/>
      <c r="T62" s="387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7"/>
      <c r="AN62" s="387"/>
      <c r="AO62" s="387"/>
      <c r="AP62" s="387"/>
      <c r="AQ62" s="387"/>
      <c r="AR62" s="387"/>
      <c r="AS62" s="387"/>
      <c r="AT62" s="387"/>
      <c r="AU62" s="387"/>
      <c r="AV62" s="387"/>
      <c r="AW62" s="387"/>
      <c r="AX62" s="387"/>
      <c r="AY62" s="387"/>
      <c r="AZ62" s="387"/>
    </row>
    <row r="63" spans="2:52" ht="12.75"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 s="387"/>
      <c r="P63" s="387"/>
      <c r="Q63" s="387"/>
      <c r="R63" s="387"/>
      <c r="S63" s="387"/>
      <c r="T63" s="387"/>
      <c r="U63" s="387"/>
      <c r="V63" s="387"/>
      <c r="W63" s="387"/>
      <c r="X63" s="387"/>
      <c r="Y63" s="387"/>
      <c r="Z63" s="387"/>
      <c r="AA63" s="387"/>
      <c r="AB63" s="387"/>
      <c r="AC63" s="387"/>
      <c r="AD63" s="387"/>
      <c r="AE63" s="387"/>
      <c r="AF63" s="387"/>
      <c r="AG63" s="387"/>
      <c r="AH63" s="387"/>
      <c r="AI63" s="387"/>
      <c r="AJ63" s="387"/>
      <c r="AK63" s="387"/>
      <c r="AL63" s="387"/>
      <c r="AM63" s="387"/>
      <c r="AN63" s="387"/>
      <c r="AO63" s="387"/>
      <c r="AP63" s="387"/>
      <c r="AQ63" s="387"/>
      <c r="AR63" s="387"/>
      <c r="AS63" s="387"/>
      <c r="AT63" s="387"/>
      <c r="AU63" s="387"/>
      <c r="AV63" s="387"/>
      <c r="AW63" s="387"/>
      <c r="AX63" s="387"/>
      <c r="AY63" s="387"/>
      <c r="AZ63" s="387"/>
    </row>
    <row r="64" spans="2:52" ht="12.75"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 s="387"/>
      <c r="P64" s="387"/>
      <c r="Q64" s="387"/>
      <c r="R64" s="387"/>
      <c r="S64" s="387"/>
      <c r="T64" s="387"/>
      <c r="U64" s="387"/>
      <c r="V64" s="387"/>
      <c r="W64" s="387"/>
      <c r="X64" s="387"/>
      <c r="Y64" s="387"/>
      <c r="Z64" s="387"/>
      <c r="AA64" s="387"/>
      <c r="AB64" s="387"/>
      <c r="AC64" s="387"/>
      <c r="AD64" s="387"/>
      <c r="AE64" s="387"/>
      <c r="AF64" s="387"/>
      <c r="AG64" s="387"/>
      <c r="AH64" s="387"/>
      <c r="AI64" s="387"/>
      <c r="AJ64" s="387"/>
      <c r="AK64" s="387"/>
      <c r="AL64" s="387"/>
      <c r="AM64" s="387"/>
      <c r="AN64" s="387"/>
      <c r="AO64" s="387"/>
      <c r="AP64" s="387"/>
      <c r="AQ64" s="387"/>
      <c r="AR64" s="387"/>
      <c r="AS64" s="387"/>
      <c r="AT64" s="387"/>
      <c r="AU64" s="387"/>
      <c r="AV64" s="387"/>
      <c r="AW64" s="387"/>
      <c r="AX64" s="387"/>
      <c r="AY64" s="387"/>
      <c r="AZ64" s="387"/>
    </row>
    <row r="65" spans="2:52" ht="12.75">
      <c r="B65" s="387"/>
      <c r="C65" s="387"/>
      <c r="D65" s="387"/>
      <c r="E65" s="387"/>
      <c r="F65" s="387"/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7"/>
      <c r="AI65" s="387"/>
      <c r="AJ65" s="387"/>
      <c r="AK65" s="387"/>
      <c r="AL65" s="387"/>
      <c r="AM65" s="387"/>
      <c r="AN65" s="387"/>
      <c r="AO65" s="387"/>
      <c r="AP65" s="387"/>
      <c r="AQ65" s="387"/>
      <c r="AR65" s="387"/>
      <c r="AS65" s="387"/>
      <c r="AT65" s="387"/>
      <c r="AU65" s="387"/>
      <c r="AV65" s="387"/>
      <c r="AW65" s="387"/>
      <c r="AX65" s="387"/>
      <c r="AY65" s="387"/>
      <c r="AZ65" s="387"/>
    </row>
    <row r="66" spans="2:52" ht="12.75">
      <c r="B66" s="387"/>
      <c r="C66" s="387"/>
      <c r="D66" s="387"/>
      <c r="E66" s="387"/>
      <c r="F66" s="387"/>
      <c r="G66" s="387"/>
      <c r="H66" s="387"/>
      <c r="I66" s="387"/>
      <c r="J66" s="387"/>
      <c r="K66" s="387"/>
      <c r="L66" s="387"/>
      <c r="M66" s="387"/>
      <c r="N66" s="387"/>
      <c r="O66" s="387"/>
      <c r="P66" s="387"/>
      <c r="Q66" s="387"/>
      <c r="R66" s="387"/>
      <c r="S66" s="387"/>
      <c r="T66" s="387"/>
      <c r="U66" s="387"/>
      <c r="V66" s="387"/>
      <c r="W66" s="387"/>
      <c r="X66" s="387"/>
      <c r="Y66" s="387"/>
      <c r="Z66" s="387"/>
      <c r="AA66" s="387"/>
      <c r="AB66" s="387"/>
      <c r="AC66" s="387"/>
      <c r="AD66" s="387"/>
      <c r="AE66" s="387"/>
      <c r="AF66" s="387"/>
      <c r="AG66" s="387"/>
      <c r="AH66" s="387"/>
      <c r="AI66" s="387"/>
      <c r="AJ66" s="387"/>
      <c r="AK66" s="387"/>
      <c r="AL66" s="387"/>
      <c r="AM66" s="387"/>
      <c r="AN66" s="387"/>
      <c r="AO66" s="387"/>
      <c r="AP66" s="387"/>
      <c r="AQ66" s="387"/>
      <c r="AR66" s="387"/>
      <c r="AS66" s="387"/>
      <c r="AT66" s="387"/>
      <c r="AU66" s="387"/>
      <c r="AV66" s="387"/>
      <c r="AW66" s="387"/>
      <c r="AX66" s="387"/>
      <c r="AY66" s="387"/>
      <c r="AZ66" s="387"/>
    </row>
    <row r="67" spans="2:52" ht="12.75">
      <c r="B67" s="387"/>
      <c r="C67" s="387"/>
      <c r="D67" s="387"/>
      <c r="E67" s="387"/>
      <c r="F67" s="387"/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87"/>
      <c r="AL67" s="387"/>
      <c r="AM67" s="387"/>
      <c r="AN67" s="387"/>
      <c r="AO67" s="387"/>
      <c r="AP67" s="387"/>
      <c r="AQ67" s="387"/>
      <c r="AR67" s="387"/>
      <c r="AS67" s="387"/>
      <c r="AT67" s="387"/>
      <c r="AU67" s="387"/>
      <c r="AV67" s="387"/>
      <c r="AW67" s="387"/>
      <c r="AX67" s="387"/>
      <c r="AY67" s="387"/>
      <c r="AZ67" s="387"/>
    </row>
    <row r="68" spans="2:52" ht="12.75"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7"/>
      <c r="AN68" s="387"/>
      <c r="AO68" s="387"/>
      <c r="AP68" s="387"/>
      <c r="AQ68" s="387"/>
      <c r="AR68" s="387"/>
      <c r="AS68" s="387"/>
      <c r="AT68" s="387"/>
      <c r="AU68" s="387"/>
      <c r="AV68" s="387"/>
      <c r="AW68" s="387"/>
      <c r="AX68" s="387"/>
      <c r="AY68" s="387"/>
      <c r="AZ68" s="387"/>
    </row>
    <row r="69" spans="2:52" ht="12.75">
      <c r="B69" s="387"/>
      <c r="C69" s="387"/>
      <c r="D69" s="387"/>
      <c r="E69" s="387"/>
      <c r="F69" s="387"/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7"/>
      <c r="V69" s="387"/>
      <c r="W69" s="387"/>
      <c r="X69" s="387"/>
      <c r="Y69" s="387"/>
      <c r="Z69" s="387"/>
      <c r="AA69" s="387"/>
      <c r="AB69" s="387"/>
      <c r="AC69" s="387"/>
      <c r="AD69" s="387"/>
      <c r="AE69" s="387"/>
      <c r="AF69" s="387"/>
      <c r="AG69" s="387"/>
      <c r="AH69" s="387"/>
      <c r="AI69" s="387"/>
      <c r="AJ69" s="387"/>
      <c r="AK69" s="387"/>
      <c r="AL69" s="387"/>
      <c r="AM69" s="387"/>
      <c r="AN69" s="387"/>
      <c r="AO69" s="387"/>
      <c r="AP69" s="387"/>
      <c r="AQ69" s="387"/>
      <c r="AR69" s="387"/>
      <c r="AS69" s="387"/>
      <c r="AT69" s="387"/>
      <c r="AU69" s="387"/>
      <c r="AV69" s="387"/>
      <c r="AW69" s="387"/>
      <c r="AX69" s="387"/>
      <c r="AY69" s="387"/>
      <c r="AZ69" s="387"/>
    </row>
    <row r="70" spans="2:52" ht="12.75"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  <c r="AC70" s="387"/>
      <c r="AD70" s="387"/>
      <c r="AE70" s="387"/>
      <c r="AF70" s="387"/>
      <c r="AG70" s="387"/>
      <c r="AH70" s="387"/>
      <c r="AI70" s="387"/>
      <c r="AJ70" s="387"/>
      <c r="AK70" s="387"/>
      <c r="AL70" s="387"/>
      <c r="AM70" s="387"/>
      <c r="AN70" s="387"/>
      <c r="AO70" s="387"/>
      <c r="AP70" s="387"/>
      <c r="AQ70" s="387"/>
      <c r="AR70" s="387"/>
      <c r="AS70" s="387"/>
      <c r="AT70" s="387"/>
      <c r="AU70" s="387"/>
      <c r="AV70" s="387"/>
      <c r="AW70" s="387"/>
      <c r="AX70" s="387"/>
      <c r="AY70" s="387"/>
      <c r="AZ70" s="387"/>
    </row>
    <row r="71" spans="2:52" ht="12.75"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7"/>
      <c r="AO71" s="387"/>
      <c r="AP71" s="387"/>
      <c r="AQ71" s="387"/>
      <c r="AR71" s="387"/>
      <c r="AS71" s="387"/>
      <c r="AT71" s="387"/>
      <c r="AU71" s="387"/>
      <c r="AV71" s="387"/>
      <c r="AW71" s="387"/>
      <c r="AX71" s="387"/>
      <c r="AY71" s="387"/>
      <c r="AZ71" s="387"/>
    </row>
    <row r="72" spans="2:52" ht="12.75">
      <c r="B72" s="387"/>
      <c r="C72" s="387"/>
      <c r="D72" s="387"/>
      <c r="E72" s="387"/>
      <c r="F72" s="387"/>
      <c r="G72" s="387"/>
      <c r="H72" s="387"/>
      <c r="I72" s="387"/>
      <c r="J72" s="387"/>
      <c r="K72" s="387"/>
      <c r="L72" s="387"/>
      <c r="M72" s="387"/>
      <c r="N72" s="387"/>
      <c r="O72" s="387"/>
      <c r="P72" s="387"/>
      <c r="Q72" s="387"/>
      <c r="R72" s="387"/>
      <c r="S72" s="387"/>
      <c r="T72" s="387"/>
      <c r="U72" s="387"/>
      <c r="V72" s="387"/>
      <c r="W72" s="387"/>
      <c r="X72" s="387"/>
      <c r="Y72" s="387"/>
      <c r="Z72" s="387"/>
      <c r="AA72" s="387"/>
      <c r="AB72" s="387"/>
      <c r="AC72" s="387"/>
      <c r="AD72" s="387"/>
      <c r="AE72" s="387"/>
      <c r="AF72" s="387"/>
      <c r="AG72" s="387"/>
      <c r="AH72" s="387"/>
      <c r="AI72" s="387"/>
      <c r="AJ72" s="387"/>
      <c r="AK72" s="387"/>
      <c r="AL72" s="387"/>
      <c r="AM72" s="387"/>
      <c r="AN72" s="387"/>
      <c r="AO72" s="387"/>
      <c r="AP72" s="387"/>
      <c r="AQ72" s="387"/>
      <c r="AR72" s="387"/>
      <c r="AS72" s="387"/>
      <c r="AT72" s="387"/>
      <c r="AU72" s="387"/>
      <c r="AV72" s="387"/>
      <c r="AW72" s="387"/>
      <c r="AX72" s="387"/>
      <c r="AY72" s="387"/>
      <c r="AZ72" s="387"/>
    </row>
    <row r="73" spans="2:52" ht="12.75">
      <c r="B73" s="387"/>
      <c r="C73" s="387"/>
      <c r="D73" s="387"/>
      <c r="E73" s="387"/>
      <c r="F73" s="387"/>
      <c r="G73" s="387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387"/>
      <c r="X73" s="387"/>
      <c r="Y73" s="387"/>
      <c r="Z73" s="387"/>
      <c r="AA73" s="387"/>
      <c r="AB73" s="387"/>
      <c r="AC73" s="387"/>
      <c r="AD73" s="387"/>
      <c r="AE73" s="387"/>
      <c r="AF73" s="387"/>
      <c r="AG73" s="387"/>
      <c r="AH73" s="387"/>
      <c r="AI73" s="387"/>
      <c r="AJ73" s="387"/>
      <c r="AK73" s="387"/>
      <c r="AL73" s="387"/>
      <c r="AM73" s="387"/>
      <c r="AN73" s="387"/>
      <c r="AO73" s="387"/>
      <c r="AP73" s="387"/>
      <c r="AQ73" s="387"/>
      <c r="AR73" s="387"/>
      <c r="AS73" s="387"/>
      <c r="AT73" s="387"/>
      <c r="AU73" s="387"/>
      <c r="AV73" s="387"/>
      <c r="AW73" s="387"/>
      <c r="AX73" s="387"/>
      <c r="AY73" s="387"/>
      <c r="AZ73" s="387"/>
    </row>
    <row r="74" spans="2:52" ht="12.75">
      <c r="B74" s="387"/>
      <c r="C74" s="387"/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  <c r="AV74" s="387"/>
      <c r="AW74" s="387"/>
      <c r="AX74" s="387"/>
      <c r="AY74" s="387"/>
      <c r="AZ74" s="387"/>
    </row>
    <row r="75" spans="2:52" ht="12.75"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7"/>
      <c r="AG75" s="387"/>
      <c r="AH75" s="387"/>
      <c r="AI75" s="387"/>
      <c r="AJ75" s="387"/>
      <c r="AK75" s="387"/>
      <c r="AL75" s="387"/>
      <c r="AM75" s="387"/>
      <c r="AN75" s="387"/>
      <c r="AO75" s="387"/>
      <c r="AP75" s="387"/>
      <c r="AQ75" s="387"/>
      <c r="AR75" s="387"/>
      <c r="AS75" s="387"/>
      <c r="AT75" s="387"/>
      <c r="AU75" s="387"/>
      <c r="AV75" s="387"/>
      <c r="AW75" s="387"/>
      <c r="AX75" s="387"/>
      <c r="AY75" s="387"/>
      <c r="AZ75" s="387"/>
    </row>
    <row r="76" spans="2:52" ht="12.75">
      <c r="B76" s="387"/>
      <c r="C76" s="387"/>
      <c r="D76" s="387"/>
      <c r="E76" s="387"/>
      <c r="F76" s="387"/>
      <c r="G76" s="387"/>
      <c r="H76" s="387"/>
      <c r="I76" s="387"/>
      <c r="J76" s="387"/>
      <c r="K76" s="387"/>
      <c r="L76" s="387"/>
      <c r="M76" s="387"/>
      <c r="N76" s="387"/>
      <c r="O76" s="387"/>
      <c r="P76" s="387"/>
      <c r="Q76" s="387"/>
      <c r="R76" s="387"/>
      <c r="S76" s="387"/>
      <c r="T76" s="387"/>
      <c r="U76" s="387"/>
      <c r="V76" s="387"/>
      <c r="W76" s="387"/>
      <c r="X76" s="387"/>
      <c r="Y76" s="387"/>
      <c r="Z76" s="387"/>
      <c r="AA76" s="387"/>
      <c r="AB76" s="387"/>
      <c r="AC76" s="387"/>
      <c r="AD76" s="387"/>
      <c r="AE76" s="387"/>
      <c r="AF76" s="387"/>
      <c r="AG76" s="387"/>
      <c r="AH76" s="387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7"/>
      <c r="AZ76" s="387"/>
    </row>
    <row r="77" spans="2:52" ht="12.75">
      <c r="B77" s="387"/>
      <c r="C77" s="387"/>
      <c r="D77" s="387"/>
      <c r="E77" s="387"/>
      <c r="F77" s="387"/>
      <c r="G77" s="387"/>
      <c r="H77" s="387"/>
      <c r="I77" s="387"/>
      <c r="J77" s="387"/>
      <c r="K77" s="387"/>
      <c r="L77" s="387"/>
      <c r="M77" s="387"/>
      <c r="N77" s="387"/>
      <c r="O77" s="387"/>
      <c r="P77" s="387"/>
      <c r="Q77" s="387"/>
      <c r="R77" s="387"/>
      <c r="S77" s="387"/>
      <c r="T77" s="387"/>
      <c r="U77" s="387"/>
      <c r="V77" s="387"/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/>
      <c r="AM77" s="387"/>
      <c r="AN77" s="387"/>
      <c r="AO77" s="387"/>
      <c r="AP77" s="387"/>
      <c r="AQ77" s="387"/>
      <c r="AR77" s="387"/>
      <c r="AS77" s="387"/>
      <c r="AT77" s="387"/>
      <c r="AU77" s="387"/>
      <c r="AV77" s="387"/>
      <c r="AW77" s="387"/>
      <c r="AX77" s="387"/>
      <c r="AY77" s="387"/>
      <c r="AZ77" s="387"/>
    </row>
    <row r="78" spans="2:52" ht="12.75">
      <c r="B78" s="387"/>
      <c r="C78" s="387"/>
      <c r="D78" s="387"/>
      <c r="E78" s="387"/>
      <c r="F78" s="387"/>
      <c r="G78" s="387"/>
      <c r="H78" s="387"/>
      <c r="I78" s="387"/>
      <c r="J78" s="387"/>
      <c r="K78" s="387"/>
      <c r="L78" s="387"/>
      <c r="M78" s="387"/>
      <c r="N78" s="387"/>
      <c r="O78" s="387"/>
      <c r="P78" s="387"/>
      <c r="Q78" s="387"/>
      <c r="R78" s="387"/>
      <c r="S78" s="387"/>
      <c r="T78" s="387"/>
      <c r="U78" s="387"/>
      <c r="V78" s="387"/>
      <c r="W78" s="387"/>
      <c r="X78" s="387"/>
      <c r="Y78" s="387"/>
      <c r="Z78" s="387"/>
      <c r="AA78" s="387"/>
      <c r="AB78" s="387"/>
      <c r="AC78" s="387"/>
      <c r="AD78" s="387"/>
      <c r="AE78" s="387"/>
      <c r="AF78" s="387"/>
      <c r="AG78" s="387"/>
      <c r="AH78" s="387"/>
      <c r="AI78" s="387"/>
      <c r="AJ78" s="387"/>
      <c r="AK78" s="387"/>
      <c r="AL78" s="387"/>
      <c r="AM78" s="387"/>
      <c r="AN78" s="387"/>
      <c r="AO78" s="387"/>
      <c r="AP78" s="387"/>
      <c r="AQ78" s="387"/>
      <c r="AR78" s="387"/>
      <c r="AS78" s="387"/>
      <c r="AT78" s="387"/>
      <c r="AU78" s="387"/>
      <c r="AV78" s="387"/>
      <c r="AW78" s="387"/>
      <c r="AX78" s="387"/>
      <c r="AY78" s="387"/>
      <c r="AZ78" s="387"/>
    </row>
    <row r="79" spans="2:52" ht="12.75"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S79" s="387"/>
      <c r="T79" s="387"/>
      <c r="U79" s="387"/>
      <c r="V79" s="387"/>
      <c r="W79" s="387"/>
      <c r="X79" s="387"/>
      <c r="Y79" s="387"/>
      <c r="Z79" s="387"/>
      <c r="AA79" s="387"/>
      <c r="AB79" s="387"/>
      <c r="AC79" s="387"/>
      <c r="AD79" s="387"/>
      <c r="AE79" s="387"/>
      <c r="AF79" s="387"/>
      <c r="AG79" s="387"/>
      <c r="AH79" s="387"/>
      <c r="AI79" s="387"/>
      <c r="AJ79" s="387"/>
      <c r="AK79" s="387"/>
      <c r="AL79" s="387"/>
      <c r="AM79" s="387"/>
      <c r="AN79" s="387"/>
      <c r="AO79" s="387"/>
      <c r="AP79" s="387"/>
      <c r="AQ79" s="387"/>
      <c r="AR79" s="387"/>
      <c r="AS79" s="387"/>
      <c r="AT79" s="387"/>
      <c r="AU79" s="387"/>
      <c r="AV79" s="387"/>
      <c r="AW79" s="387"/>
      <c r="AX79" s="387"/>
      <c r="AY79" s="387"/>
      <c r="AZ79" s="387"/>
    </row>
    <row r="80" spans="2:52" ht="12.75">
      <c r="B80" s="387"/>
      <c r="C80" s="387"/>
      <c r="D80" s="387"/>
      <c r="E80" s="387"/>
      <c r="F80" s="387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7"/>
    </row>
    <row r="81" spans="2:52" ht="12.75">
      <c r="B81" s="387"/>
      <c r="C81" s="387"/>
      <c r="D81" s="387"/>
      <c r="E81" s="387"/>
      <c r="F81" s="387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87"/>
      <c r="R81" s="387"/>
      <c r="S81" s="387"/>
      <c r="T81" s="387"/>
      <c r="U81" s="387"/>
      <c r="V81" s="387"/>
      <c r="W81" s="387"/>
      <c r="X81" s="387"/>
      <c r="Y81" s="387"/>
      <c r="Z81" s="387"/>
      <c r="AA81" s="387"/>
      <c r="AB81" s="387"/>
      <c r="AC81" s="387"/>
      <c r="AD81" s="387"/>
      <c r="AE81" s="387"/>
      <c r="AF81" s="387"/>
      <c r="AG81" s="387"/>
      <c r="AH81" s="387"/>
      <c r="AI81" s="387"/>
      <c r="AJ81" s="387"/>
      <c r="AK81" s="387"/>
      <c r="AL81" s="387"/>
      <c r="AM81" s="387"/>
      <c r="AN81" s="387"/>
      <c r="AO81" s="387"/>
      <c r="AP81" s="387"/>
      <c r="AQ81" s="387"/>
      <c r="AR81" s="387"/>
      <c r="AS81" s="387"/>
      <c r="AT81" s="387"/>
      <c r="AU81" s="387"/>
      <c r="AV81" s="387"/>
      <c r="AW81" s="387"/>
      <c r="AX81" s="387"/>
      <c r="AY81" s="387"/>
      <c r="AZ81" s="387"/>
    </row>
    <row r="82" spans="2:52" ht="12.75">
      <c r="B82" s="387"/>
      <c r="C82" s="387"/>
      <c r="D82" s="387"/>
      <c r="E82" s="387"/>
      <c r="F82" s="387"/>
      <c r="G82" s="387"/>
      <c r="H82" s="387"/>
      <c r="I82" s="387"/>
      <c r="J82" s="387"/>
      <c r="K82" s="387"/>
      <c r="L82" s="387"/>
      <c r="M82" s="387"/>
      <c r="N82" s="387"/>
      <c r="O82" s="387"/>
      <c r="P82" s="387"/>
      <c r="Q82" s="387"/>
      <c r="R82" s="387"/>
      <c r="S82" s="387"/>
      <c r="T82" s="387"/>
      <c r="U82" s="387"/>
      <c r="V82" s="387"/>
      <c r="W82" s="387"/>
      <c r="X82" s="387"/>
      <c r="Y82" s="387"/>
      <c r="Z82" s="387"/>
      <c r="AA82" s="387"/>
      <c r="AB82" s="387"/>
      <c r="AC82" s="387"/>
      <c r="AD82" s="387"/>
      <c r="AE82" s="387"/>
      <c r="AF82" s="387"/>
      <c r="AG82" s="387"/>
      <c r="AH82" s="387"/>
      <c r="AI82" s="387"/>
      <c r="AJ82" s="387"/>
      <c r="AK82" s="387"/>
      <c r="AL82" s="387"/>
      <c r="AM82" s="387"/>
      <c r="AN82" s="387"/>
      <c r="AO82" s="387"/>
      <c r="AP82" s="387"/>
      <c r="AQ82" s="387"/>
      <c r="AR82" s="387"/>
      <c r="AS82" s="387"/>
      <c r="AT82" s="387"/>
      <c r="AU82" s="387"/>
      <c r="AV82" s="387"/>
      <c r="AW82" s="387"/>
      <c r="AX82" s="387"/>
      <c r="AY82" s="387"/>
      <c r="AZ82" s="387"/>
    </row>
    <row r="83" spans="2:52" ht="12.75">
      <c r="B83" s="387"/>
      <c r="C83" s="387"/>
      <c r="D83" s="387"/>
      <c r="E83" s="387"/>
      <c r="F83" s="387"/>
      <c r="G83" s="387"/>
      <c r="H83" s="387"/>
      <c r="I83" s="387"/>
      <c r="J83" s="387"/>
      <c r="K83" s="387"/>
      <c r="L83" s="387"/>
      <c r="M83" s="387"/>
      <c r="N83" s="387"/>
      <c r="O83" s="387"/>
      <c r="P83" s="387"/>
      <c r="Q83" s="387"/>
      <c r="R83" s="387"/>
      <c r="S83" s="387"/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</row>
    <row r="84" spans="2:52" ht="12.75">
      <c r="B84" s="387"/>
      <c r="C84" s="387"/>
      <c r="D84" s="387"/>
      <c r="E84" s="387"/>
      <c r="F84" s="387"/>
      <c r="G84" s="387"/>
      <c r="H84" s="387"/>
      <c r="I84" s="387"/>
      <c r="J84" s="387"/>
      <c r="K84" s="387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7"/>
      <c r="AN84" s="387"/>
      <c r="AO84" s="387"/>
      <c r="AP84" s="387"/>
      <c r="AQ84" s="387"/>
      <c r="AR84" s="387"/>
      <c r="AS84" s="387"/>
      <c r="AT84" s="387"/>
      <c r="AU84" s="387"/>
      <c r="AV84" s="387"/>
      <c r="AW84" s="387"/>
      <c r="AX84" s="387"/>
      <c r="AY84" s="387"/>
      <c r="AZ84" s="387"/>
    </row>
    <row r="85" spans="2:52" ht="12.75">
      <c r="B85" s="387"/>
      <c r="C85" s="387"/>
      <c r="D85" s="387"/>
      <c r="E85" s="387"/>
      <c r="F85" s="387"/>
      <c r="G85" s="387"/>
      <c r="H85" s="387"/>
      <c r="I85" s="387"/>
      <c r="J85" s="387"/>
      <c r="K85" s="387"/>
      <c r="L85" s="387"/>
      <c r="M85" s="387"/>
      <c r="N85" s="387"/>
      <c r="O85" s="387"/>
      <c r="P85" s="387"/>
      <c r="Q85" s="387"/>
      <c r="R85" s="387"/>
      <c r="S85" s="387"/>
      <c r="T85" s="387"/>
      <c r="U85" s="387"/>
      <c r="V85" s="387"/>
      <c r="W85" s="387"/>
      <c r="X85" s="387"/>
      <c r="Y85" s="387"/>
      <c r="Z85" s="387"/>
      <c r="AA85" s="387"/>
      <c r="AB85" s="387"/>
      <c r="AC85" s="387"/>
      <c r="AD85" s="387"/>
      <c r="AE85" s="387"/>
      <c r="AF85" s="387"/>
      <c r="AG85" s="387"/>
      <c r="AH85" s="387"/>
      <c r="AI85" s="387"/>
      <c r="AJ85" s="387"/>
      <c r="AK85" s="387"/>
      <c r="AL85" s="387"/>
      <c r="AM85" s="387"/>
      <c r="AN85" s="387"/>
      <c r="AO85" s="387"/>
      <c r="AP85" s="387"/>
      <c r="AQ85" s="387"/>
      <c r="AR85" s="387"/>
      <c r="AS85" s="387"/>
      <c r="AT85" s="387"/>
      <c r="AU85" s="387"/>
      <c r="AV85" s="387"/>
      <c r="AW85" s="387"/>
      <c r="AX85" s="387"/>
      <c r="AY85" s="387"/>
      <c r="AZ85" s="387"/>
    </row>
    <row r="86" spans="2:52" ht="12.75">
      <c r="B86" s="387"/>
      <c r="C86" s="387"/>
      <c r="D86" s="387"/>
      <c r="E86" s="387"/>
      <c r="F86" s="387"/>
      <c r="G86" s="387"/>
      <c r="H86" s="387"/>
      <c r="I86" s="387"/>
      <c r="J86" s="387"/>
      <c r="K86" s="387"/>
      <c r="L86" s="387"/>
      <c r="M86" s="387"/>
      <c r="N86" s="387"/>
      <c r="O86" s="387"/>
      <c r="P86" s="387"/>
      <c r="Q86" s="387"/>
      <c r="R86" s="387"/>
      <c r="S86" s="387"/>
      <c r="T86" s="387"/>
      <c r="U86" s="387"/>
      <c r="V86" s="387"/>
      <c r="W86" s="387"/>
      <c r="X86" s="387"/>
      <c r="Y86" s="387"/>
      <c r="Z86" s="387"/>
      <c r="AA86" s="387"/>
      <c r="AB86" s="387"/>
      <c r="AC86" s="387"/>
      <c r="AD86" s="387"/>
      <c r="AE86" s="387"/>
      <c r="AF86" s="387"/>
      <c r="AG86" s="387"/>
      <c r="AH86" s="387"/>
      <c r="AI86" s="387"/>
      <c r="AJ86" s="387"/>
      <c r="AK86" s="387"/>
      <c r="AL86" s="387"/>
      <c r="AM86" s="387"/>
      <c r="AN86" s="387"/>
      <c r="AO86" s="387"/>
      <c r="AP86" s="387"/>
      <c r="AQ86" s="387"/>
      <c r="AR86" s="387"/>
      <c r="AS86" s="387"/>
      <c r="AT86" s="387"/>
      <c r="AU86" s="387"/>
      <c r="AV86" s="387"/>
      <c r="AW86" s="387"/>
      <c r="AX86" s="387"/>
      <c r="AY86" s="387"/>
      <c r="AZ86" s="387"/>
    </row>
    <row r="87" spans="2:52" ht="12.75">
      <c r="B87" s="387"/>
      <c r="C87" s="387"/>
      <c r="D87" s="387"/>
      <c r="E87" s="387"/>
      <c r="F87" s="387"/>
      <c r="G87" s="387"/>
      <c r="H87" s="387"/>
      <c r="I87" s="387"/>
      <c r="J87" s="387"/>
      <c r="K87" s="387"/>
      <c r="L87" s="387"/>
      <c r="M87" s="387"/>
      <c r="N87" s="387"/>
      <c r="O87" s="387"/>
      <c r="P87" s="387"/>
      <c r="Q87" s="387"/>
      <c r="R87" s="387"/>
      <c r="S87" s="387"/>
      <c r="T87" s="387"/>
      <c r="U87" s="387"/>
      <c r="V87" s="387"/>
      <c r="W87" s="387"/>
      <c r="X87" s="387"/>
      <c r="Y87" s="387"/>
      <c r="Z87" s="387"/>
      <c r="AA87" s="387"/>
      <c r="AB87" s="387"/>
      <c r="AC87" s="387"/>
      <c r="AD87" s="387"/>
      <c r="AE87" s="387"/>
      <c r="AF87" s="387"/>
      <c r="AG87" s="387"/>
      <c r="AH87" s="387"/>
      <c r="AI87" s="387"/>
      <c r="AJ87" s="387"/>
      <c r="AK87" s="387"/>
      <c r="AL87" s="387"/>
      <c r="AM87" s="387"/>
      <c r="AN87" s="387"/>
      <c r="AO87" s="387"/>
      <c r="AP87" s="387"/>
      <c r="AQ87" s="387"/>
      <c r="AR87" s="387"/>
      <c r="AS87" s="387"/>
      <c r="AT87" s="387"/>
      <c r="AU87" s="387"/>
      <c r="AV87" s="387"/>
      <c r="AW87" s="387"/>
      <c r="AX87" s="387"/>
      <c r="AY87" s="387"/>
      <c r="AZ87" s="387"/>
    </row>
    <row r="88" spans="2:52" ht="12.75">
      <c r="B88" s="387"/>
      <c r="C88" s="387"/>
      <c r="D88" s="387"/>
      <c r="E88" s="387"/>
      <c r="F88" s="387"/>
      <c r="G88" s="387"/>
      <c r="H88" s="387"/>
      <c r="I88" s="387"/>
      <c r="J88" s="387"/>
      <c r="K88" s="387"/>
      <c r="L88" s="387"/>
      <c r="M88" s="387"/>
      <c r="N88" s="387"/>
      <c r="O88" s="387"/>
      <c r="P88" s="387"/>
      <c r="Q88" s="387"/>
      <c r="R88" s="387"/>
      <c r="S88" s="387"/>
      <c r="T88" s="387"/>
      <c r="U88" s="387"/>
      <c r="V88" s="387"/>
      <c r="W88" s="387"/>
      <c r="X88" s="387"/>
      <c r="Y88" s="387"/>
      <c r="Z88" s="387"/>
      <c r="AA88" s="387"/>
      <c r="AB88" s="387"/>
      <c r="AC88" s="387"/>
      <c r="AD88" s="387"/>
      <c r="AE88" s="387"/>
      <c r="AF88" s="387"/>
      <c r="AG88" s="387"/>
      <c r="AH88" s="387"/>
      <c r="AI88" s="387"/>
      <c r="AJ88" s="387"/>
      <c r="AK88" s="387"/>
      <c r="AL88" s="387"/>
      <c r="AM88" s="387"/>
      <c r="AN88" s="387"/>
      <c r="AO88" s="387"/>
      <c r="AP88" s="387"/>
      <c r="AQ88" s="387"/>
      <c r="AR88" s="387"/>
      <c r="AS88" s="387"/>
      <c r="AT88" s="387"/>
      <c r="AU88" s="387"/>
      <c r="AV88" s="387"/>
      <c r="AW88" s="387"/>
      <c r="AX88" s="387"/>
      <c r="AY88" s="387"/>
      <c r="AZ88" s="387"/>
    </row>
    <row r="89" spans="2:52" ht="12.75"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387"/>
      <c r="M89" s="387"/>
      <c r="N89" s="387"/>
      <c r="O89" s="387"/>
      <c r="P89" s="387"/>
      <c r="Q89" s="387"/>
      <c r="R89" s="387"/>
      <c r="S89" s="387"/>
      <c r="T89" s="387"/>
      <c r="U89" s="387"/>
      <c r="V89" s="387"/>
      <c r="W89" s="387"/>
      <c r="X89" s="387"/>
      <c r="Y89" s="387"/>
      <c r="Z89" s="387"/>
      <c r="AA89" s="387"/>
      <c r="AB89" s="387"/>
      <c r="AC89" s="387"/>
      <c r="AD89" s="387"/>
      <c r="AE89" s="387"/>
      <c r="AF89" s="387"/>
      <c r="AG89" s="387"/>
      <c r="AH89" s="387"/>
      <c r="AI89" s="387"/>
      <c r="AJ89" s="387"/>
      <c r="AK89" s="387"/>
      <c r="AL89" s="387"/>
      <c r="AM89" s="387"/>
      <c r="AN89" s="387"/>
      <c r="AO89" s="387"/>
      <c r="AP89" s="387"/>
      <c r="AQ89" s="387"/>
      <c r="AR89" s="387"/>
      <c r="AS89" s="387"/>
      <c r="AT89" s="387"/>
      <c r="AU89" s="387"/>
      <c r="AV89" s="387"/>
      <c r="AW89" s="387"/>
      <c r="AX89" s="387"/>
      <c r="AY89" s="387"/>
      <c r="AZ89" s="387"/>
    </row>
    <row r="90" spans="2:52" ht="12.75">
      <c r="B90" s="387"/>
      <c r="C90" s="387"/>
      <c r="D90" s="387"/>
      <c r="E90" s="387"/>
      <c r="F90" s="387"/>
      <c r="G90" s="387"/>
      <c r="H90" s="387"/>
      <c r="I90" s="387"/>
      <c r="J90" s="387"/>
      <c r="K90" s="387"/>
      <c r="L90" s="387"/>
      <c r="M90" s="387"/>
      <c r="N90" s="387"/>
      <c r="O90" s="387"/>
      <c r="P90" s="387"/>
      <c r="Q90" s="387"/>
      <c r="R90" s="387"/>
      <c r="S90" s="387"/>
      <c r="T90" s="387"/>
      <c r="U90" s="387"/>
      <c r="V90" s="387"/>
      <c r="W90" s="387"/>
      <c r="X90" s="387"/>
      <c r="Y90" s="387"/>
      <c r="Z90" s="387"/>
      <c r="AA90" s="387"/>
      <c r="AB90" s="387"/>
      <c r="AC90" s="387"/>
      <c r="AD90" s="387"/>
      <c r="AE90" s="387"/>
      <c r="AF90" s="387"/>
      <c r="AG90" s="387"/>
      <c r="AH90" s="387"/>
      <c r="AI90" s="387"/>
      <c r="AJ90" s="387"/>
      <c r="AK90" s="387"/>
      <c r="AL90" s="387"/>
      <c r="AM90" s="387"/>
      <c r="AN90" s="387"/>
      <c r="AO90" s="387"/>
      <c r="AP90" s="387"/>
      <c r="AQ90" s="387"/>
      <c r="AR90" s="387"/>
      <c r="AS90" s="387"/>
      <c r="AT90" s="387"/>
      <c r="AU90" s="387"/>
      <c r="AV90" s="387"/>
      <c r="AW90" s="387"/>
      <c r="AX90" s="387"/>
      <c r="AY90" s="387"/>
      <c r="AZ90" s="387"/>
    </row>
    <row r="91" spans="2:52" ht="12.75">
      <c r="B91" s="387"/>
      <c r="C91" s="387"/>
      <c r="D91" s="387"/>
      <c r="E91" s="387"/>
      <c r="F91" s="387"/>
      <c r="G91" s="387"/>
      <c r="H91" s="387"/>
      <c r="I91" s="387"/>
      <c r="J91" s="387"/>
      <c r="K91" s="387"/>
      <c r="L91" s="387"/>
      <c r="M91" s="387"/>
      <c r="N91" s="387"/>
      <c r="O91" s="387"/>
      <c r="P91" s="387"/>
      <c r="Q91" s="387"/>
      <c r="R91" s="387"/>
      <c r="S91" s="387"/>
      <c r="T91" s="387"/>
      <c r="U91" s="387"/>
      <c r="V91" s="387"/>
      <c r="W91" s="387"/>
      <c r="X91" s="387"/>
      <c r="Y91" s="387"/>
      <c r="Z91" s="387"/>
      <c r="AA91" s="387"/>
      <c r="AB91" s="387"/>
      <c r="AC91" s="387"/>
      <c r="AD91" s="387"/>
      <c r="AE91" s="387"/>
      <c r="AF91" s="387"/>
      <c r="AG91" s="387"/>
      <c r="AH91" s="387"/>
      <c r="AI91" s="387"/>
      <c r="AJ91" s="387"/>
      <c r="AK91" s="387"/>
      <c r="AL91" s="387"/>
      <c r="AM91" s="387"/>
      <c r="AN91" s="387"/>
      <c r="AO91" s="387"/>
      <c r="AP91" s="387"/>
      <c r="AQ91" s="387"/>
      <c r="AR91" s="387"/>
      <c r="AS91" s="387"/>
      <c r="AT91" s="387"/>
      <c r="AU91" s="387"/>
      <c r="AV91" s="387"/>
      <c r="AW91" s="387"/>
      <c r="AX91" s="387"/>
      <c r="AY91" s="387"/>
      <c r="AZ91" s="387"/>
    </row>
    <row r="92" spans="2:52" ht="12.75">
      <c r="B92" s="387"/>
      <c r="C92" s="387"/>
      <c r="D92" s="387"/>
      <c r="E92" s="387"/>
      <c r="F92" s="387"/>
      <c r="G92" s="387"/>
      <c r="H92" s="387"/>
      <c r="I92" s="387"/>
      <c r="J92" s="387"/>
      <c r="K92" s="387"/>
      <c r="L92" s="387"/>
      <c r="M92" s="387"/>
      <c r="N92" s="387"/>
      <c r="O92" s="387"/>
      <c r="P92" s="387"/>
      <c r="Q92" s="387"/>
      <c r="R92" s="387"/>
      <c r="S92" s="387"/>
      <c r="T92" s="387"/>
      <c r="U92" s="387"/>
      <c r="V92" s="387"/>
      <c r="W92" s="387"/>
      <c r="X92" s="387"/>
      <c r="Y92" s="387"/>
      <c r="Z92" s="387"/>
      <c r="AA92" s="387"/>
      <c r="AB92" s="387"/>
      <c r="AC92" s="387"/>
      <c r="AD92" s="387"/>
      <c r="AE92" s="387"/>
      <c r="AF92" s="387"/>
      <c r="AG92" s="387"/>
      <c r="AH92" s="387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87"/>
      <c r="AV92" s="387"/>
      <c r="AW92" s="387"/>
      <c r="AX92" s="387"/>
      <c r="AY92" s="387"/>
      <c r="AZ92" s="387"/>
    </row>
    <row r="93" spans="2:52" ht="12.75">
      <c r="B93" s="387"/>
      <c r="C93" s="387"/>
      <c r="D93" s="387"/>
      <c r="E93" s="387"/>
      <c r="F93" s="387"/>
      <c r="G93" s="387"/>
      <c r="H93" s="387"/>
      <c r="I93" s="387"/>
      <c r="J93" s="387"/>
      <c r="K93" s="387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387"/>
      <c r="AF93" s="387"/>
      <c r="AG93" s="387"/>
      <c r="AH93" s="387"/>
      <c r="AI93" s="387"/>
      <c r="AJ93" s="387"/>
      <c r="AK93" s="387"/>
      <c r="AL93" s="387"/>
      <c r="AM93" s="387"/>
      <c r="AN93" s="387"/>
      <c r="AO93" s="387"/>
      <c r="AP93" s="387"/>
      <c r="AQ93" s="387"/>
      <c r="AR93" s="387"/>
      <c r="AS93" s="387"/>
      <c r="AT93" s="387"/>
      <c r="AU93" s="387"/>
      <c r="AV93" s="387"/>
      <c r="AW93" s="387"/>
      <c r="AX93" s="387"/>
      <c r="AY93" s="387"/>
      <c r="AZ93" s="387"/>
    </row>
    <row r="94" spans="2:52" ht="12.75">
      <c r="B94" s="387"/>
      <c r="C94" s="387"/>
      <c r="D94" s="387"/>
      <c r="E94" s="387"/>
      <c r="F94" s="387"/>
      <c r="G94" s="387"/>
      <c r="H94" s="387"/>
      <c r="I94" s="387"/>
      <c r="J94" s="387"/>
      <c r="K94" s="387"/>
      <c r="L94" s="387"/>
      <c r="M94" s="387"/>
      <c r="N94" s="387"/>
      <c r="O94" s="387"/>
      <c r="P94" s="387"/>
      <c r="Q94" s="387"/>
      <c r="R94" s="387"/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</row>
    <row r="95" spans="2:52" ht="12.75">
      <c r="B95" s="387"/>
      <c r="C95" s="387"/>
      <c r="D95" s="387"/>
      <c r="E95" s="387"/>
      <c r="F95" s="387"/>
      <c r="G95" s="387"/>
      <c r="H95" s="387"/>
      <c r="I95" s="387"/>
      <c r="J95" s="387"/>
      <c r="K95" s="387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7"/>
      <c r="AC95" s="387"/>
      <c r="AD95" s="387"/>
      <c r="AE95" s="387"/>
      <c r="AF95" s="387"/>
      <c r="AG95" s="387"/>
      <c r="AH95" s="387"/>
      <c r="AI95" s="387"/>
      <c r="AJ95" s="387"/>
      <c r="AK95" s="387"/>
      <c r="AL95" s="387"/>
      <c r="AM95" s="387"/>
      <c r="AN95" s="387"/>
      <c r="AO95" s="387"/>
      <c r="AP95" s="387"/>
      <c r="AQ95" s="387"/>
      <c r="AR95" s="387"/>
      <c r="AS95" s="387"/>
      <c r="AT95" s="387"/>
      <c r="AU95" s="387"/>
      <c r="AV95" s="387"/>
      <c r="AW95" s="387"/>
      <c r="AX95" s="387"/>
      <c r="AY95" s="387"/>
      <c r="AZ95" s="387"/>
    </row>
    <row r="96" spans="2:52" ht="12.75">
      <c r="B96" s="387"/>
      <c r="C96" s="387"/>
      <c r="D96" s="387"/>
      <c r="E96" s="387"/>
      <c r="F96" s="387"/>
      <c r="G96" s="387"/>
      <c r="H96" s="387"/>
      <c r="I96" s="387"/>
      <c r="J96" s="387"/>
      <c r="K96" s="387"/>
      <c r="L96" s="387"/>
      <c r="M96" s="387"/>
      <c r="N96" s="387"/>
      <c r="O96" s="387"/>
      <c r="P96" s="387"/>
      <c r="Q96" s="387"/>
      <c r="R96" s="387"/>
      <c r="S96" s="387"/>
      <c r="T96" s="387"/>
      <c r="U96" s="387"/>
      <c r="V96" s="387"/>
      <c r="W96" s="387"/>
      <c r="X96" s="387"/>
      <c r="Y96" s="387"/>
      <c r="Z96" s="387"/>
      <c r="AA96" s="387"/>
      <c r="AB96" s="387"/>
      <c r="AC96" s="387"/>
      <c r="AD96" s="387"/>
      <c r="AE96" s="387"/>
      <c r="AF96" s="387"/>
      <c r="AG96" s="387"/>
      <c r="AH96" s="387"/>
      <c r="AI96" s="387"/>
      <c r="AJ96" s="387"/>
      <c r="AK96" s="387"/>
      <c r="AL96" s="387"/>
      <c r="AM96" s="387"/>
      <c r="AN96" s="387"/>
      <c r="AO96" s="387"/>
      <c r="AP96" s="387"/>
      <c r="AQ96" s="387"/>
      <c r="AR96" s="387"/>
      <c r="AS96" s="387"/>
      <c r="AT96" s="387"/>
      <c r="AU96" s="387"/>
      <c r="AV96" s="387"/>
      <c r="AW96" s="387"/>
      <c r="AX96" s="387"/>
      <c r="AY96" s="387"/>
      <c r="AZ96" s="387"/>
    </row>
    <row r="97" spans="2:52" ht="12.75">
      <c r="B97" s="387"/>
      <c r="C97" s="387"/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87"/>
      <c r="AG97" s="387"/>
      <c r="AH97" s="387"/>
      <c r="AI97" s="387"/>
      <c r="AJ97" s="387"/>
      <c r="AK97" s="387"/>
      <c r="AL97" s="387"/>
      <c r="AM97" s="387"/>
      <c r="AN97" s="387"/>
      <c r="AO97" s="387"/>
      <c r="AP97" s="387"/>
      <c r="AQ97" s="387"/>
      <c r="AR97" s="387"/>
      <c r="AS97" s="387"/>
      <c r="AT97" s="387"/>
      <c r="AU97" s="387"/>
      <c r="AV97" s="387"/>
      <c r="AW97" s="387"/>
      <c r="AX97" s="387"/>
      <c r="AY97" s="387"/>
      <c r="AZ97" s="387"/>
    </row>
    <row r="98" spans="2:52" ht="12.75">
      <c r="B98" s="387"/>
      <c r="C98" s="387"/>
      <c r="D98" s="387"/>
      <c r="E98" s="387"/>
      <c r="F98" s="387"/>
      <c r="G98" s="387"/>
      <c r="H98" s="387"/>
      <c r="I98" s="387"/>
      <c r="J98" s="387"/>
      <c r="K98" s="387"/>
      <c r="L98" s="387"/>
      <c r="M98" s="387"/>
      <c r="N98" s="387"/>
      <c r="O98" s="387"/>
      <c r="P98" s="387"/>
      <c r="Q98" s="387"/>
      <c r="R98" s="387"/>
      <c r="S98" s="387"/>
      <c r="T98" s="387"/>
      <c r="U98" s="387"/>
      <c r="V98" s="387"/>
      <c r="W98" s="387"/>
      <c r="X98" s="387"/>
      <c r="Y98" s="387"/>
      <c r="Z98" s="387"/>
      <c r="AA98" s="387"/>
      <c r="AB98" s="387"/>
      <c r="AC98" s="387"/>
      <c r="AD98" s="387"/>
      <c r="AE98" s="387"/>
      <c r="AF98" s="387"/>
      <c r="AG98" s="387"/>
      <c r="AH98" s="387"/>
      <c r="AI98" s="387"/>
      <c r="AJ98" s="387"/>
      <c r="AK98" s="387"/>
      <c r="AL98" s="387"/>
      <c r="AM98" s="387"/>
      <c r="AN98" s="387"/>
      <c r="AO98" s="387"/>
      <c r="AP98" s="387"/>
      <c r="AQ98" s="387"/>
      <c r="AR98" s="387"/>
      <c r="AS98" s="387"/>
      <c r="AT98" s="387"/>
      <c r="AU98" s="387"/>
      <c r="AV98" s="387"/>
      <c r="AW98" s="387"/>
      <c r="AX98" s="387"/>
      <c r="AY98" s="387"/>
      <c r="AZ98" s="387"/>
    </row>
    <row r="99" spans="2:52" ht="12.75">
      <c r="B99" s="387"/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/>
      <c r="AM99" s="387"/>
      <c r="AN99" s="387"/>
      <c r="AO99" s="387"/>
      <c r="AP99" s="387"/>
      <c r="AQ99" s="387"/>
      <c r="AR99" s="387"/>
      <c r="AS99" s="387"/>
      <c r="AT99" s="387"/>
      <c r="AU99" s="387"/>
      <c r="AV99" s="387"/>
      <c r="AW99" s="387"/>
      <c r="AX99" s="387"/>
      <c r="AY99" s="387"/>
      <c r="AZ99" s="387"/>
    </row>
    <row r="100" spans="2:52" ht="12.75">
      <c r="B100" s="387"/>
      <c r="C100" s="387"/>
      <c r="D100" s="387"/>
      <c r="E100" s="387"/>
      <c r="F100" s="387"/>
      <c r="G100" s="387"/>
      <c r="H100" s="387"/>
      <c r="I100" s="387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7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/>
      <c r="AJ100" s="387"/>
      <c r="AK100" s="387"/>
      <c r="AL100" s="387"/>
      <c r="AM100" s="387"/>
      <c r="AN100" s="387"/>
      <c r="AO100" s="387"/>
      <c r="AP100" s="387"/>
      <c r="AQ100" s="387"/>
      <c r="AR100" s="387"/>
      <c r="AS100" s="387"/>
      <c r="AT100" s="387"/>
      <c r="AU100" s="387"/>
      <c r="AV100" s="387"/>
      <c r="AW100" s="387"/>
      <c r="AX100" s="387"/>
      <c r="AY100" s="387"/>
      <c r="AZ100" s="387"/>
    </row>
    <row r="101" spans="2:52" ht="12.75">
      <c r="B101" s="387"/>
      <c r="C101" s="387"/>
      <c r="D101" s="387"/>
      <c r="E101" s="387"/>
      <c r="F101" s="387"/>
      <c r="G101" s="387"/>
      <c r="H101" s="387"/>
      <c r="I101" s="387"/>
      <c r="J101" s="387"/>
      <c r="K101" s="387"/>
      <c r="L101" s="387"/>
      <c r="M101" s="387"/>
      <c r="N101" s="387"/>
      <c r="O101" s="387"/>
      <c r="P101" s="387"/>
      <c r="Q101" s="387"/>
      <c r="R101" s="387"/>
      <c r="S101" s="387"/>
      <c r="T101" s="387"/>
      <c r="U101" s="387"/>
      <c r="V101" s="387"/>
      <c r="W101" s="387"/>
      <c r="X101" s="387"/>
      <c r="Y101" s="387"/>
      <c r="Z101" s="387"/>
      <c r="AA101" s="387"/>
      <c r="AB101" s="387"/>
      <c r="AC101" s="387"/>
      <c r="AD101" s="387"/>
      <c r="AE101" s="387"/>
      <c r="AF101" s="387"/>
      <c r="AG101" s="387"/>
      <c r="AH101" s="387"/>
      <c r="AI101" s="387"/>
      <c r="AJ101" s="387"/>
      <c r="AK101" s="387"/>
      <c r="AL101" s="387"/>
      <c r="AM101" s="387"/>
      <c r="AN101" s="387"/>
      <c r="AO101" s="387"/>
      <c r="AP101" s="387"/>
      <c r="AQ101" s="387"/>
      <c r="AR101" s="387"/>
      <c r="AS101" s="387"/>
      <c r="AT101" s="387"/>
      <c r="AU101" s="387"/>
      <c r="AV101" s="387"/>
      <c r="AW101" s="387"/>
      <c r="AX101" s="387"/>
      <c r="AY101" s="387"/>
      <c r="AZ101" s="387"/>
    </row>
    <row r="102" spans="2:52" ht="12.75">
      <c r="B102" s="387"/>
      <c r="C102" s="387"/>
      <c r="D102" s="387"/>
      <c r="E102" s="387"/>
      <c r="F102" s="387"/>
      <c r="G102" s="387"/>
      <c r="H102" s="387"/>
      <c r="I102" s="387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  <c r="AI102" s="387"/>
      <c r="AJ102" s="387"/>
      <c r="AK102" s="387"/>
      <c r="AL102" s="387"/>
      <c r="AM102" s="387"/>
      <c r="AN102" s="387"/>
      <c r="AO102" s="387"/>
      <c r="AP102" s="387"/>
      <c r="AQ102" s="387"/>
      <c r="AR102" s="387"/>
      <c r="AS102" s="387"/>
      <c r="AT102" s="387"/>
      <c r="AU102" s="387"/>
      <c r="AV102" s="387"/>
      <c r="AW102" s="387"/>
      <c r="AX102" s="387"/>
      <c r="AY102" s="387"/>
      <c r="AZ102" s="387"/>
    </row>
    <row r="103" spans="2:52" ht="12.75">
      <c r="B103" s="387"/>
      <c r="C103" s="387"/>
      <c r="D103" s="387"/>
      <c r="E103" s="387"/>
      <c r="F103" s="387"/>
      <c r="G103" s="387"/>
      <c r="H103" s="387"/>
      <c r="I103" s="387"/>
      <c r="J103" s="387"/>
      <c r="K103" s="387"/>
      <c r="L103" s="387"/>
      <c r="M103" s="387"/>
      <c r="N103" s="387"/>
      <c r="O103" s="387"/>
      <c r="P103" s="387"/>
      <c r="Q103" s="387"/>
      <c r="R103" s="387"/>
      <c r="S103" s="387"/>
      <c r="T103" s="387"/>
      <c r="U103" s="387"/>
      <c r="V103" s="387"/>
      <c r="W103" s="387"/>
      <c r="X103" s="387"/>
      <c r="Y103" s="387"/>
      <c r="Z103" s="387"/>
      <c r="AA103" s="387"/>
      <c r="AB103" s="387"/>
      <c r="AC103" s="387"/>
      <c r="AD103" s="387"/>
      <c r="AE103" s="387"/>
      <c r="AF103" s="387"/>
      <c r="AG103" s="387"/>
      <c r="AH103" s="387"/>
      <c r="AI103" s="387"/>
      <c r="AJ103" s="387"/>
      <c r="AK103" s="387"/>
      <c r="AL103" s="387"/>
      <c r="AM103" s="387"/>
      <c r="AN103" s="387"/>
      <c r="AO103" s="387"/>
      <c r="AP103" s="387"/>
      <c r="AQ103" s="387"/>
      <c r="AR103" s="387"/>
      <c r="AS103" s="387"/>
      <c r="AT103" s="387"/>
      <c r="AU103" s="387"/>
      <c r="AV103" s="387"/>
      <c r="AW103" s="387"/>
      <c r="AX103" s="387"/>
      <c r="AY103" s="387"/>
      <c r="AZ103" s="387"/>
    </row>
    <row r="104" spans="2:52" ht="12.75">
      <c r="B104" s="387"/>
      <c r="C104" s="387"/>
      <c r="D104" s="387"/>
      <c r="E104" s="387"/>
      <c r="F104" s="387"/>
      <c r="G104" s="387"/>
      <c r="H104" s="387"/>
      <c r="I104" s="387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7"/>
      <c r="U104" s="387"/>
      <c r="V104" s="387"/>
      <c r="W104" s="387"/>
      <c r="X104" s="387"/>
      <c r="Y104" s="387"/>
      <c r="Z104" s="387"/>
      <c r="AA104" s="387"/>
      <c r="AB104" s="387"/>
      <c r="AC104" s="387"/>
      <c r="AD104" s="387"/>
      <c r="AE104" s="387"/>
      <c r="AF104" s="387"/>
      <c r="AG104" s="387"/>
      <c r="AH104" s="387"/>
      <c r="AI104" s="387"/>
      <c r="AJ104" s="387"/>
      <c r="AK104" s="387"/>
      <c r="AL104" s="387"/>
      <c r="AM104" s="387"/>
      <c r="AN104" s="387"/>
      <c r="AO104" s="387"/>
      <c r="AP104" s="387"/>
      <c r="AQ104" s="387"/>
      <c r="AR104" s="387"/>
      <c r="AS104" s="387"/>
      <c r="AT104" s="387"/>
      <c r="AU104" s="387"/>
      <c r="AV104" s="387"/>
      <c r="AW104" s="387"/>
      <c r="AX104" s="387"/>
      <c r="AY104" s="387"/>
      <c r="AZ104" s="387"/>
    </row>
    <row r="105" spans="2:52" ht="12.75">
      <c r="B105" s="387"/>
      <c r="C105" s="387"/>
      <c r="D105" s="387"/>
      <c r="E105" s="387"/>
      <c r="F105" s="387"/>
      <c r="G105" s="387"/>
      <c r="H105" s="387"/>
      <c r="I105" s="387"/>
      <c r="J105" s="387"/>
      <c r="K105" s="387"/>
      <c r="L105" s="387"/>
      <c r="M105" s="387"/>
      <c r="N105" s="387"/>
      <c r="O105" s="387"/>
      <c r="P105" s="387"/>
      <c r="Q105" s="387"/>
      <c r="R105" s="387"/>
      <c r="S105" s="387"/>
      <c r="T105" s="387"/>
      <c r="U105" s="387"/>
      <c r="V105" s="387"/>
      <c r="W105" s="387"/>
      <c r="X105" s="387"/>
      <c r="Y105" s="387"/>
      <c r="Z105" s="387"/>
      <c r="AA105" s="387"/>
      <c r="AB105" s="387"/>
      <c r="AC105" s="387"/>
      <c r="AD105" s="387"/>
      <c r="AE105" s="387"/>
      <c r="AF105" s="387"/>
      <c r="AG105" s="387"/>
      <c r="AH105" s="387"/>
      <c r="AI105" s="387"/>
      <c r="AJ105" s="387"/>
      <c r="AK105" s="387"/>
      <c r="AL105" s="387"/>
      <c r="AM105" s="387"/>
      <c r="AN105" s="387"/>
      <c r="AO105" s="387"/>
      <c r="AP105" s="387"/>
      <c r="AQ105" s="387"/>
      <c r="AR105" s="387"/>
      <c r="AS105" s="387"/>
      <c r="AT105" s="387"/>
      <c r="AU105" s="387"/>
      <c r="AV105" s="387"/>
      <c r="AW105" s="387"/>
      <c r="AX105" s="387"/>
      <c r="AY105" s="387"/>
      <c r="AZ105" s="387"/>
    </row>
    <row r="106" spans="2:52" ht="12.75">
      <c r="B106" s="387"/>
      <c r="C106" s="387"/>
      <c r="D106" s="387"/>
      <c r="E106" s="387"/>
      <c r="F106" s="387"/>
      <c r="G106" s="387"/>
      <c r="H106" s="387"/>
      <c r="I106" s="387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7"/>
      <c r="U106" s="387"/>
      <c r="V106" s="387"/>
      <c r="W106" s="387"/>
      <c r="X106" s="387"/>
      <c r="Y106" s="387"/>
      <c r="Z106" s="387"/>
      <c r="AA106" s="387"/>
      <c r="AB106" s="387"/>
      <c r="AC106" s="387"/>
      <c r="AD106" s="387"/>
      <c r="AE106" s="387"/>
      <c r="AF106" s="387"/>
      <c r="AG106" s="387"/>
      <c r="AH106" s="387"/>
      <c r="AI106" s="387"/>
      <c r="AJ106" s="387"/>
      <c r="AK106" s="387"/>
      <c r="AL106" s="387"/>
      <c r="AM106" s="387"/>
      <c r="AN106" s="387"/>
      <c r="AO106" s="387"/>
      <c r="AP106" s="387"/>
      <c r="AQ106" s="387"/>
      <c r="AR106" s="387"/>
      <c r="AS106" s="387"/>
      <c r="AT106" s="387"/>
      <c r="AU106" s="387"/>
      <c r="AV106" s="387"/>
      <c r="AW106" s="387"/>
      <c r="AX106" s="387"/>
      <c r="AY106" s="387"/>
      <c r="AZ106" s="387"/>
    </row>
    <row r="107" spans="2:52" ht="12.75">
      <c r="B107" s="387"/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7"/>
      <c r="AJ107" s="387"/>
      <c r="AK107" s="387"/>
      <c r="AL107" s="387"/>
      <c r="AM107" s="387"/>
      <c r="AN107" s="387"/>
      <c r="AO107" s="387"/>
      <c r="AP107" s="387"/>
      <c r="AQ107" s="387"/>
      <c r="AR107" s="387"/>
      <c r="AS107" s="387"/>
      <c r="AT107" s="387"/>
      <c r="AU107" s="387"/>
      <c r="AV107" s="387"/>
      <c r="AW107" s="387"/>
      <c r="AX107" s="387"/>
      <c r="AY107" s="387"/>
      <c r="AZ107" s="387"/>
    </row>
    <row r="108" spans="2:52" ht="12.75">
      <c r="B108" s="387"/>
      <c r="C108" s="387"/>
      <c r="D108" s="387"/>
      <c r="E108" s="387"/>
      <c r="F108" s="387"/>
      <c r="G108" s="387"/>
      <c r="H108" s="387"/>
      <c r="I108" s="387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7"/>
      <c r="U108" s="387"/>
      <c r="V108" s="387"/>
      <c r="W108" s="387"/>
      <c r="X108" s="387"/>
      <c r="Y108" s="387"/>
      <c r="Z108" s="387"/>
      <c r="AA108" s="387"/>
      <c r="AB108" s="387"/>
      <c r="AC108" s="387"/>
      <c r="AD108" s="387"/>
      <c r="AE108" s="387"/>
      <c r="AF108" s="387"/>
      <c r="AG108" s="387"/>
      <c r="AH108" s="387"/>
      <c r="AI108" s="387"/>
      <c r="AJ108" s="387"/>
      <c r="AK108" s="387"/>
      <c r="AL108" s="387"/>
      <c r="AM108" s="387"/>
      <c r="AN108" s="387"/>
      <c r="AO108" s="387"/>
      <c r="AP108" s="387"/>
      <c r="AQ108" s="387"/>
      <c r="AR108" s="387"/>
      <c r="AS108" s="387"/>
      <c r="AT108" s="387"/>
      <c r="AU108" s="387"/>
      <c r="AV108" s="387"/>
      <c r="AW108" s="387"/>
      <c r="AX108" s="387"/>
      <c r="AY108" s="387"/>
      <c r="AZ108" s="387"/>
    </row>
    <row r="109" spans="2:52" ht="12.75">
      <c r="B109" s="387"/>
      <c r="C109" s="387"/>
      <c r="D109" s="387"/>
      <c r="E109" s="387"/>
      <c r="F109" s="387"/>
      <c r="G109" s="387"/>
      <c r="H109" s="387"/>
      <c r="I109" s="387"/>
      <c r="J109" s="387"/>
      <c r="K109" s="387"/>
      <c r="L109" s="387"/>
      <c r="M109" s="387"/>
      <c r="N109" s="387"/>
      <c r="O109" s="387"/>
      <c r="P109" s="387"/>
      <c r="Q109" s="387"/>
      <c r="R109" s="387"/>
      <c r="S109" s="387"/>
      <c r="T109" s="387"/>
      <c r="U109" s="387"/>
      <c r="V109" s="387"/>
      <c r="W109" s="387"/>
      <c r="X109" s="387"/>
      <c r="Y109" s="387"/>
      <c r="Z109" s="387"/>
      <c r="AA109" s="387"/>
      <c r="AB109" s="387"/>
      <c r="AC109" s="387"/>
      <c r="AD109" s="387"/>
      <c r="AE109" s="387"/>
      <c r="AF109" s="387"/>
      <c r="AG109" s="387"/>
      <c r="AH109" s="387"/>
      <c r="AI109" s="387"/>
      <c r="AJ109" s="387"/>
      <c r="AK109" s="387"/>
      <c r="AL109" s="387"/>
      <c r="AM109" s="387"/>
      <c r="AN109" s="387"/>
      <c r="AO109" s="387"/>
      <c r="AP109" s="387"/>
      <c r="AQ109" s="387"/>
      <c r="AR109" s="387"/>
      <c r="AS109" s="387"/>
      <c r="AT109" s="387"/>
      <c r="AU109" s="387"/>
      <c r="AV109" s="387"/>
      <c r="AW109" s="387"/>
      <c r="AX109" s="387"/>
      <c r="AY109" s="387"/>
      <c r="AZ109" s="387"/>
    </row>
    <row r="110" spans="2:52" ht="12.75">
      <c r="B110" s="387"/>
      <c r="C110" s="387"/>
      <c r="D110" s="387"/>
      <c r="E110" s="387"/>
      <c r="F110" s="387"/>
      <c r="G110" s="387"/>
      <c r="H110" s="387"/>
      <c r="I110" s="387"/>
      <c r="J110" s="387"/>
      <c r="K110" s="387"/>
      <c r="L110" s="387"/>
      <c r="M110" s="387"/>
      <c r="N110" s="387"/>
      <c r="O110" s="387"/>
      <c r="P110" s="387"/>
      <c r="Q110" s="387"/>
      <c r="R110" s="387"/>
      <c r="S110" s="387"/>
      <c r="T110" s="387"/>
      <c r="U110" s="387"/>
      <c r="V110" s="387"/>
      <c r="W110" s="387"/>
      <c r="X110" s="387"/>
      <c r="Y110" s="387"/>
      <c r="Z110" s="387"/>
      <c r="AA110" s="387"/>
      <c r="AB110" s="387"/>
      <c r="AC110" s="387"/>
      <c r="AD110" s="387"/>
      <c r="AE110" s="387"/>
      <c r="AF110" s="387"/>
      <c r="AG110" s="387"/>
      <c r="AH110" s="387"/>
      <c r="AI110" s="387"/>
      <c r="AJ110" s="387"/>
      <c r="AK110" s="387"/>
      <c r="AL110" s="387"/>
      <c r="AM110" s="387"/>
      <c r="AN110" s="387"/>
      <c r="AO110" s="387"/>
      <c r="AP110" s="387"/>
      <c r="AQ110" s="387"/>
      <c r="AR110" s="387"/>
      <c r="AS110" s="387"/>
      <c r="AT110" s="387"/>
      <c r="AU110" s="387"/>
      <c r="AV110" s="387"/>
      <c r="AW110" s="387"/>
      <c r="AX110" s="387"/>
      <c r="AY110" s="387"/>
      <c r="AZ110" s="387"/>
    </row>
    <row r="111" spans="2:52" ht="12.75">
      <c r="B111" s="387"/>
      <c r="C111" s="387"/>
      <c r="D111" s="387"/>
      <c r="E111" s="387"/>
      <c r="F111" s="387"/>
      <c r="G111" s="387"/>
      <c r="H111" s="387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  <c r="U111" s="387"/>
      <c r="V111" s="387"/>
      <c r="W111" s="387"/>
      <c r="X111" s="387"/>
      <c r="Y111" s="387"/>
      <c r="Z111" s="387"/>
      <c r="AA111" s="387"/>
      <c r="AB111" s="387"/>
      <c r="AC111" s="387"/>
      <c r="AD111" s="387"/>
      <c r="AE111" s="387"/>
      <c r="AF111" s="387"/>
      <c r="AG111" s="387"/>
      <c r="AH111" s="387"/>
      <c r="AI111" s="387"/>
      <c r="AJ111" s="387"/>
      <c r="AK111" s="387"/>
      <c r="AL111" s="387"/>
      <c r="AM111" s="387"/>
      <c r="AN111" s="387"/>
      <c r="AO111" s="387"/>
      <c r="AP111" s="387"/>
      <c r="AQ111" s="387"/>
      <c r="AR111" s="387"/>
      <c r="AS111" s="387"/>
      <c r="AT111" s="387"/>
      <c r="AU111" s="387"/>
      <c r="AV111" s="387"/>
      <c r="AW111" s="387"/>
      <c r="AX111" s="387"/>
      <c r="AY111" s="387"/>
      <c r="AZ111" s="387"/>
    </row>
    <row r="112" spans="2:52" ht="12.75">
      <c r="B112" s="387"/>
      <c r="C112" s="387"/>
      <c r="D112" s="387"/>
      <c r="E112" s="387"/>
      <c r="F112" s="387"/>
      <c r="G112" s="387"/>
      <c r="H112" s="387"/>
      <c r="I112" s="387"/>
      <c r="J112" s="387"/>
      <c r="K112" s="387"/>
      <c r="L112" s="387"/>
      <c r="M112" s="387"/>
      <c r="N112" s="387"/>
      <c r="O112" s="387"/>
      <c r="P112" s="387"/>
      <c r="Q112" s="387"/>
      <c r="R112" s="387"/>
      <c r="S112" s="387"/>
      <c r="T112" s="387"/>
      <c r="U112" s="387"/>
      <c r="V112" s="387"/>
      <c r="W112" s="387"/>
      <c r="X112" s="387"/>
      <c r="Y112" s="387"/>
      <c r="Z112" s="387"/>
      <c r="AA112" s="387"/>
      <c r="AB112" s="387"/>
      <c r="AC112" s="387"/>
      <c r="AD112" s="387"/>
      <c r="AE112" s="387"/>
      <c r="AF112" s="387"/>
      <c r="AG112" s="387"/>
      <c r="AH112" s="387"/>
      <c r="AI112" s="387"/>
      <c r="AJ112" s="387"/>
      <c r="AK112" s="387"/>
      <c r="AL112" s="387"/>
      <c r="AM112" s="387"/>
      <c r="AN112" s="387"/>
      <c r="AO112" s="387"/>
      <c r="AP112" s="387"/>
      <c r="AQ112" s="387"/>
      <c r="AR112" s="387"/>
      <c r="AS112" s="387"/>
      <c r="AT112" s="387"/>
      <c r="AU112" s="387"/>
      <c r="AV112" s="387"/>
      <c r="AW112" s="387"/>
      <c r="AX112" s="387"/>
      <c r="AY112" s="387"/>
      <c r="AZ112" s="387"/>
    </row>
    <row r="113" spans="2:52" ht="12.75">
      <c r="B113" s="387"/>
      <c r="C113" s="387"/>
      <c r="D113" s="387"/>
      <c r="E113" s="387"/>
      <c r="F113" s="387"/>
      <c r="G113" s="387"/>
      <c r="H113" s="387"/>
      <c r="I113" s="387"/>
      <c r="J113" s="387"/>
      <c r="K113" s="387"/>
      <c r="L113" s="387"/>
      <c r="M113" s="387"/>
      <c r="N113" s="387"/>
      <c r="O113" s="387"/>
      <c r="P113" s="387"/>
      <c r="Q113" s="387"/>
      <c r="R113" s="387"/>
      <c r="S113" s="387"/>
      <c r="T113" s="387"/>
      <c r="U113" s="387"/>
      <c r="V113" s="387"/>
      <c r="W113" s="387"/>
      <c r="X113" s="387"/>
      <c r="Y113" s="387"/>
      <c r="Z113" s="387"/>
      <c r="AA113" s="387"/>
      <c r="AB113" s="387"/>
      <c r="AC113" s="387"/>
      <c r="AD113" s="387"/>
      <c r="AE113" s="387"/>
      <c r="AF113" s="387"/>
      <c r="AG113" s="387"/>
      <c r="AH113" s="387"/>
      <c r="AI113" s="387"/>
      <c r="AJ113" s="387"/>
      <c r="AK113" s="387"/>
      <c r="AL113" s="387"/>
      <c r="AM113" s="387"/>
      <c r="AN113" s="387"/>
      <c r="AO113" s="387"/>
      <c r="AP113" s="387"/>
      <c r="AQ113" s="387"/>
      <c r="AR113" s="387"/>
      <c r="AS113" s="387"/>
      <c r="AT113" s="387"/>
      <c r="AU113" s="387"/>
      <c r="AV113" s="387"/>
      <c r="AW113" s="387"/>
      <c r="AX113" s="387"/>
      <c r="AY113" s="387"/>
      <c r="AZ113" s="387"/>
    </row>
    <row r="114" spans="2:52" ht="12.75">
      <c r="B114" s="387"/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387"/>
      <c r="N114" s="387"/>
      <c r="O114" s="387"/>
      <c r="P114" s="387"/>
      <c r="Q114" s="387"/>
      <c r="R114" s="387"/>
      <c r="S114" s="387"/>
      <c r="T114" s="387"/>
      <c r="U114" s="387"/>
      <c r="V114" s="387"/>
      <c r="W114" s="387"/>
      <c r="X114" s="387"/>
      <c r="Y114" s="387"/>
      <c r="Z114" s="387"/>
      <c r="AA114" s="387"/>
      <c r="AB114" s="387"/>
      <c r="AC114" s="387"/>
      <c r="AD114" s="387"/>
      <c r="AE114" s="387"/>
      <c r="AF114" s="387"/>
      <c r="AG114" s="387"/>
      <c r="AH114" s="387"/>
      <c r="AI114" s="387"/>
      <c r="AJ114" s="387"/>
      <c r="AK114" s="387"/>
      <c r="AL114" s="387"/>
      <c r="AM114" s="387"/>
      <c r="AN114" s="387"/>
      <c r="AO114" s="387"/>
      <c r="AP114" s="387"/>
      <c r="AQ114" s="387"/>
      <c r="AR114" s="387"/>
      <c r="AS114" s="387"/>
      <c r="AT114" s="387"/>
      <c r="AU114" s="387"/>
      <c r="AV114" s="387"/>
      <c r="AW114" s="387"/>
      <c r="AX114" s="387"/>
      <c r="AY114" s="387"/>
      <c r="AZ114" s="387"/>
    </row>
    <row r="115" spans="2:52" ht="12.75">
      <c r="B115" s="387"/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387"/>
      <c r="N115" s="387"/>
      <c r="O115" s="387"/>
      <c r="P115" s="387"/>
      <c r="Q115" s="387"/>
      <c r="R115" s="387"/>
      <c r="S115" s="387"/>
      <c r="T115" s="387"/>
      <c r="U115" s="387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7"/>
      <c r="AM115" s="387"/>
      <c r="AN115" s="387"/>
      <c r="AO115" s="387"/>
      <c r="AP115" s="387"/>
      <c r="AQ115" s="387"/>
      <c r="AR115" s="387"/>
      <c r="AS115" s="387"/>
      <c r="AT115" s="387"/>
      <c r="AU115" s="387"/>
      <c r="AV115" s="387"/>
      <c r="AW115" s="387"/>
      <c r="AX115" s="387"/>
      <c r="AY115" s="387"/>
      <c r="AZ115" s="387"/>
    </row>
    <row r="116" spans="2:52" ht="12.75">
      <c r="B116" s="387"/>
      <c r="C116" s="387"/>
      <c r="D116" s="387"/>
      <c r="E116" s="387"/>
      <c r="F116" s="387"/>
      <c r="G116" s="387"/>
      <c r="H116" s="387"/>
      <c r="I116" s="387"/>
      <c r="J116" s="387"/>
      <c r="K116" s="387"/>
      <c r="L116" s="387"/>
      <c r="M116" s="387"/>
      <c r="N116" s="387"/>
      <c r="O116" s="387"/>
      <c r="P116" s="387"/>
      <c r="Q116" s="387"/>
      <c r="R116" s="387"/>
      <c r="S116" s="387"/>
      <c r="T116" s="387"/>
      <c r="U116" s="387"/>
      <c r="V116" s="387"/>
      <c r="W116" s="387"/>
      <c r="X116" s="387"/>
      <c r="Y116" s="387"/>
      <c r="Z116" s="387"/>
      <c r="AA116" s="387"/>
      <c r="AB116" s="387"/>
      <c r="AC116" s="387"/>
      <c r="AD116" s="387"/>
      <c r="AE116" s="387"/>
      <c r="AF116" s="387"/>
      <c r="AG116" s="387"/>
      <c r="AH116" s="387"/>
      <c r="AI116" s="387"/>
      <c r="AJ116" s="387"/>
      <c r="AK116" s="387"/>
      <c r="AL116" s="387"/>
      <c r="AM116" s="387"/>
      <c r="AN116" s="387"/>
      <c r="AO116" s="387"/>
      <c r="AP116" s="387"/>
      <c r="AQ116" s="387"/>
      <c r="AR116" s="387"/>
      <c r="AS116" s="387"/>
      <c r="AT116" s="387"/>
      <c r="AU116" s="387"/>
      <c r="AV116" s="387"/>
      <c r="AW116" s="387"/>
      <c r="AX116" s="387"/>
      <c r="AY116" s="387"/>
      <c r="AZ116" s="387"/>
    </row>
    <row r="117" spans="2:52" ht="12.75">
      <c r="B117" s="387"/>
      <c r="C117" s="387"/>
      <c r="D117" s="387"/>
      <c r="E117" s="387"/>
      <c r="F117" s="387"/>
      <c r="G117" s="387"/>
      <c r="H117" s="387"/>
      <c r="I117" s="387"/>
      <c r="J117" s="387"/>
      <c r="K117" s="387"/>
      <c r="L117" s="387"/>
      <c r="M117" s="387"/>
      <c r="N117" s="387"/>
      <c r="O117" s="387"/>
      <c r="P117" s="387"/>
      <c r="Q117" s="387"/>
      <c r="R117" s="387"/>
      <c r="S117" s="387"/>
      <c r="T117" s="387"/>
      <c r="U117" s="387"/>
      <c r="V117" s="387"/>
      <c r="W117" s="387"/>
      <c r="X117" s="387"/>
      <c r="Y117" s="387"/>
      <c r="Z117" s="387"/>
      <c r="AA117" s="387"/>
      <c r="AB117" s="387"/>
      <c r="AC117" s="387"/>
      <c r="AD117" s="387"/>
      <c r="AE117" s="387"/>
      <c r="AF117" s="387"/>
      <c r="AG117" s="387"/>
      <c r="AH117" s="387"/>
      <c r="AI117" s="387"/>
      <c r="AJ117" s="387"/>
      <c r="AK117" s="387"/>
      <c r="AL117" s="387"/>
      <c r="AM117" s="387"/>
      <c r="AN117" s="387"/>
      <c r="AO117" s="387"/>
      <c r="AP117" s="387"/>
      <c r="AQ117" s="387"/>
      <c r="AR117" s="387"/>
      <c r="AS117" s="387"/>
      <c r="AT117" s="387"/>
      <c r="AU117" s="387"/>
      <c r="AV117" s="387"/>
      <c r="AW117" s="387"/>
      <c r="AX117" s="387"/>
      <c r="AY117" s="387"/>
      <c r="AZ117" s="387"/>
    </row>
    <row r="118" spans="2:52" ht="12.75">
      <c r="B118" s="387"/>
      <c r="C118" s="387"/>
      <c r="D118" s="387"/>
      <c r="E118" s="387"/>
      <c r="F118" s="387"/>
      <c r="G118" s="387"/>
      <c r="H118" s="387"/>
      <c r="I118" s="387"/>
      <c r="J118" s="387"/>
      <c r="K118" s="387"/>
      <c r="L118" s="387"/>
      <c r="M118" s="387"/>
      <c r="N118" s="387"/>
      <c r="O118" s="387"/>
      <c r="P118" s="387"/>
      <c r="Q118" s="387"/>
      <c r="R118" s="387"/>
      <c r="S118" s="387"/>
      <c r="T118" s="387"/>
      <c r="U118" s="387"/>
      <c r="V118" s="387"/>
      <c r="W118" s="387"/>
      <c r="X118" s="387"/>
      <c r="Y118" s="387"/>
      <c r="Z118" s="387"/>
      <c r="AA118" s="387"/>
      <c r="AB118" s="387"/>
      <c r="AC118" s="387"/>
      <c r="AD118" s="387"/>
      <c r="AE118" s="387"/>
      <c r="AF118" s="387"/>
      <c r="AG118" s="387"/>
      <c r="AH118" s="387"/>
      <c r="AI118" s="387"/>
      <c r="AJ118" s="387"/>
      <c r="AK118" s="387"/>
      <c r="AL118" s="387"/>
      <c r="AM118" s="387"/>
      <c r="AN118" s="387"/>
      <c r="AO118" s="387"/>
      <c r="AP118" s="387"/>
      <c r="AQ118" s="387"/>
      <c r="AR118" s="387"/>
      <c r="AS118" s="387"/>
      <c r="AT118" s="387"/>
      <c r="AU118" s="387"/>
      <c r="AV118" s="387"/>
      <c r="AW118" s="387"/>
      <c r="AX118" s="387"/>
      <c r="AY118" s="387"/>
      <c r="AZ118" s="387"/>
    </row>
    <row r="119" spans="2:52" ht="12.75">
      <c r="B119" s="387"/>
      <c r="C119" s="387"/>
      <c r="D119" s="387"/>
      <c r="E119" s="387"/>
      <c r="F119" s="387"/>
      <c r="G119" s="387"/>
      <c r="H119" s="387"/>
      <c r="I119" s="387"/>
      <c r="J119" s="387"/>
      <c r="K119" s="387"/>
      <c r="L119" s="387"/>
      <c r="M119" s="387"/>
      <c r="N119" s="387"/>
      <c r="O119" s="387"/>
      <c r="P119" s="387"/>
      <c r="Q119" s="387"/>
      <c r="R119" s="387"/>
      <c r="S119" s="387"/>
      <c r="T119" s="387"/>
      <c r="U119" s="387"/>
      <c r="V119" s="387"/>
      <c r="W119" s="387"/>
      <c r="X119" s="387"/>
      <c r="Y119" s="387"/>
      <c r="Z119" s="387"/>
      <c r="AA119" s="387"/>
      <c r="AB119" s="387"/>
      <c r="AC119" s="387"/>
      <c r="AD119" s="387"/>
      <c r="AE119" s="387"/>
      <c r="AF119" s="387"/>
      <c r="AG119" s="387"/>
      <c r="AH119" s="387"/>
      <c r="AI119" s="387"/>
      <c r="AJ119" s="387"/>
      <c r="AK119" s="387"/>
      <c r="AL119" s="387"/>
      <c r="AM119" s="387"/>
      <c r="AN119" s="387"/>
      <c r="AO119" s="387"/>
      <c r="AP119" s="387"/>
      <c r="AQ119" s="387"/>
      <c r="AR119" s="387"/>
      <c r="AS119" s="387"/>
      <c r="AT119" s="387"/>
      <c r="AU119" s="387"/>
      <c r="AV119" s="387"/>
      <c r="AW119" s="387"/>
      <c r="AX119" s="387"/>
      <c r="AY119" s="387"/>
      <c r="AZ119" s="387"/>
    </row>
    <row r="120" spans="2:52" ht="12.75">
      <c r="B120" s="387"/>
      <c r="C120" s="387"/>
      <c r="D120" s="387"/>
      <c r="E120" s="387"/>
      <c r="F120" s="387"/>
      <c r="G120" s="387"/>
      <c r="H120" s="387"/>
      <c r="I120" s="387"/>
      <c r="J120" s="387"/>
      <c r="K120" s="387"/>
      <c r="L120" s="387"/>
      <c r="M120" s="387"/>
      <c r="N120" s="387"/>
      <c r="O120" s="387"/>
      <c r="P120" s="387"/>
      <c r="Q120" s="387"/>
      <c r="R120" s="387"/>
      <c r="S120" s="387"/>
      <c r="T120" s="387"/>
      <c r="U120" s="387"/>
      <c r="V120" s="387"/>
      <c r="W120" s="387"/>
      <c r="X120" s="387"/>
      <c r="Y120" s="387"/>
      <c r="Z120" s="387"/>
      <c r="AA120" s="387"/>
      <c r="AB120" s="387"/>
      <c r="AC120" s="387"/>
      <c r="AD120" s="387"/>
      <c r="AE120" s="387"/>
      <c r="AF120" s="387"/>
      <c r="AG120" s="387"/>
      <c r="AH120" s="387"/>
      <c r="AI120" s="387"/>
      <c r="AJ120" s="387"/>
      <c r="AK120" s="387"/>
      <c r="AL120" s="387"/>
      <c r="AM120" s="387"/>
      <c r="AN120" s="387"/>
      <c r="AO120" s="387"/>
      <c r="AP120" s="387"/>
      <c r="AQ120" s="387"/>
      <c r="AR120" s="387"/>
      <c r="AS120" s="387"/>
      <c r="AT120" s="387"/>
      <c r="AU120" s="387"/>
      <c r="AV120" s="387"/>
      <c r="AW120" s="387"/>
      <c r="AX120" s="387"/>
      <c r="AY120" s="387"/>
      <c r="AZ120" s="387"/>
    </row>
    <row r="121" spans="2:52" ht="12.75">
      <c r="B121" s="387"/>
      <c r="C121" s="387"/>
      <c r="D121" s="387"/>
      <c r="E121" s="387"/>
      <c r="F121" s="387"/>
      <c r="G121" s="387"/>
      <c r="H121" s="387"/>
      <c r="I121" s="387"/>
      <c r="J121" s="387"/>
      <c r="K121" s="387"/>
      <c r="L121" s="387"/>
      <c r="M121" s="387"/>
      <c r="N121" s="387"/>
      <c r="O121" s="387"/>
      <c r="P121" s="387"/>
      <c r="Q121" s="387"/>
      <c r="R121" s="387"/>
      <c r="S121" s="387"/>
      <c r="T121" s="387"/>
      <c r="U121" s="387"/>
      <c r="V121" s="387"/>
      <c r="W121" s="387"/>
      <c r="X121" s="387"/>
      <c r="Y121" s="387"/>
      <c r="Z121" s="387"/>
      <c r="AA121" s="387"/>
      <c r="AB121" s="387"/>
      <c r="AC121" s="387"/>
      <c r="AD121" s="387"/>
      <c r="AE121" s="387"/>
      <c r="AF121" s="387"/>
      <c r="AG121" s="387"/>
      <c r="AH121" s="387"/>
      <c r="AI121" s="387"/>
      <c r="AJ121" s="387"/>
      <c r="AK121" s="387"/>
      <c r="AL121" s="387"/>
      <c r="AM121" s="387"/>
      <c r="AN121" s="387"/>
      <c r="AO121" s="387"/>
      <c r="AP121" s="387"/>
      <c r="AQ121" s="387"/>
      <c r="AR121" s="387"/>
      <c r="AS121" s="387"/>
      <c r="AT121" s="387"/>
      <c r="AU121" s="387"/>
      <c r="AV121" s="387"/>
      <c r="AW121" s="387"/>
      <c r="AX121" s="387"/>
      <c r="AY121" s="387"/>
      <c r="AZ121" s="387"/>
    </row>
    <row r="122" spans="2:52" ht="12.75">
      <c r="B122" s="387"/>
      <c r="C122" s="387"/>
      <c r="D122" s="387"/>
      <c r="E122" s="387"/>
      <c r="F122" s="387"/>
      <c r="G122" s="387"/>
      <c r="H122" s="387"/>
      <c r="I122" s="387"/>
      <c r="J122" s="387"/>
      <c r="K122" s="387"/>
      <c r="L122" s="387"/>
      <c r="M122" s="387"/>
      <c r="N122" s="387"/>
      <c r="O122" s="387"/>
      <c r="P122" s="387"/>
      <c r="Q122" s="387"/>
      <c r="R122" s="387"/>
      <c r="S122" s="387"/>
      <c r="T122" s="387"/>
      <c r="U122" s="387"/>
      <c r="V122" s="387"/>
      <c r="W122" s="387"/>
      <c r="X122" s="387"/>
      <c r="Y122" s="387"/>
      <c r="Z122" s="387"/>
      <c r="AA122" s="387"/>
      <c r="AB122" s="387"/>
      <c r="AC122" s="387"/>
      <c r="AD122" s="387"/>
      <c r="AE122" s="387"/>
      <c r="AF122" s="387"/>
      <c r="AG122" s="387"/>
      <c r="AH122" s="387"/>
      <c r="AI122" s="387"/>
      <c r="AJ122" s="387"/>
      <c r="AK122" s="387"/>
      <c r="AL122" s="387"/>
      <c r="AM122" s="387"/>
      <c r="AN122" s="387"/>
      <c r="AO122" s="387"/>
      <c r="AP122" s="387"/>
      <c r="AQ122" s="387"/>
      <c r="AR122" s="387"/>
      <c r="AS122" s="387"/>
      <c r="AT122" s="387"/>
      <c r="AU122" s="387"/>
      <c r="AV122" s="387"/>
      <c r="AW122" s="387"/>
      <c r="AX122" s="387"/>
      <c r="AY122" s="387"/>
      <c r="AZ122" s="387"/>
    </row>
    <row r="123" spans="2:52" ht="12.75">
      <c r="B123" s="387"/>
      <c r="C123" s="387"/>
      <c r="D123" s="387"/>
      <c r="E123" s="387"/>
      <c r="F123" s="387"/>
      <c r="G123" s="387"/>
      <c r="H123" s="387"/>
      <c r="I123" s="387"/>
      <c r="J123" s="387"/>
      <c r="K123" s="387"/>
      <c r="L123" s="387"/>
      <c r="M123" s="387"/>
      <c r="N123" s="387"/>
      <c r="O123" s="387"/>
      <c r="P123" s="387"/>
      <c r="Q123" s="387"/>
      <c r="R123" s="387"/>
      <c r="S123" s="387"/>
      <c r="T123" s="387"/>
      <c r="U123" s="387"/>
      <c r="V123" s="387"/>
      <c r="W123" s="387"/>
      <c r="X123" s="387"/>
      <c r="Y123" s="387"/>
      <c r="Z123" s="387"/>
      <c r="AA123" s="387"/>
      <c r="AB123" s="387"/>
      <c r="AC123" s="387"/>
      <c r="AD123" s="387"/>
      <c r="AE123" s="387"/>
      <c r="AF123" s="387"/>
      <c r="AG123" s="387"/>
      <c r="AH123" s="387"/>
      <c r="AI123" s="387"/>
      <c r="AJ123" s="387"/>
      <c r="AK123" s="387"/>
      <c r="AL123" s="387"/>
      <c r="AM123" s="387"/>
      <c r="AN123" s="387"/>
      <c r="AO123" s="387"/>
      <c r="AP123" s="387"/>
      <c r="AQ123" s="387"/>
      <c r="AR123" s="387"/>
      <c r="AS123" s="387"/>
      <c r="AT123" s="387"/>
      <c r="AU123" s="387"/>
      <c r="AV123" s="387"/>
      <c r="AW123" s="387"/>
      <c r="AX123" s="387"/>
      <c r="AY123" s="387"/>
      <c r="AZ123" s="387"/>
    </row>
    <row r="124" spans="2:52" ht="12.75">
      <c r="B124" s="387"/>
      <c r="C124" s="387"/>
      <c r="D124" s="387"/>
      <c r="E124" s="387"/>
      <c r="F124" s="387"/>
      <c r="G124" s="387"/>
      <c r="H124" s="387"/>
      <c r="I124" s="387"/>
      <c r="J124" s="387"/>
      <c r="K124" s="387"/>
      <c r="L124" s="387"/>
      <c r="M124" s="387"/>
      <c r="N124" s="387"/>
      <c r="O124" s="387"/>
      <c r="P124" s="387"/>
      <c r="Q124" s="387"/>
      <c r="R124" s="387"/>
      <c r="S124" s="387"/>
      <c r="T124" s="387"/>
      <c r="U124" s="387"/>
      <c r="V124" s="387"/>
      <c r="W124" s="387"/>
      <c r="X124" s="387"/>
      <c r="Y124" s="387"/>
      <c r="Z124" s="387"/>
      <c r="AA124" s="387"/>
      <c r="AB124" s="387"/>
      <c r="AC124" s="387"/>
      <c r="AD124" s="387"/>
      <c r="AE124" s="387"/>
      <c r="AF124" s="387"/>
      <c r="AG124" s="387"/>
      <c r="AH124" s="387"/>
      <c r="AI124" s="387"/>
      <c r="AJ124" s="387"/>
      <c r="AK124" s="387"/>
      <c r="AL124" s="387"/>
      <c r="AM124" s="387"/>
      <c r="AN124" s="387"/>
      <c r="AO124" s="387"/>
      <c r="AP124" s="387"/>
      <c r="AQ124" s="387"/>
      <c r="AR124" s="387"/>
      <c r="AS124" s="387"/>
      <c r="AT124" s="387"/>
      <c r="AU124" s="387"/>
      <c r="AV124" s="387"/>
      <c r="AW124" s="387"/>
      <c r="AX124" s="387"/>
      <c r="AY124" s="387"/>
      <c r="AZ124" s="387"/>
    </row>
    <row r="125" spans="2:52" ht="12.75">
      <c r="B125" s="387"/>
      <c r="C125" s="387"/>
      <c r="D125" s="387"/>
      <c r="E125" s="387"/>
      <c r="F125" s="387"/>
      <c r="G125" s="387"/>
      <c r="H125" s="387"/>
      <c r="I125" s="387"/>
      <c r="J125" s="387"/>
      <c r="K125" s="387"/>
      <c r="L125" s="387"/>
      <c r="M125" s="387"/>
      <c r="N125" s="387"/>
      <c r="O125" s="387"/>
      <c r="P125" s="387"/>
      <c r="Q125" s="387"/>
      <c r="R125" s="387"/>
      <c r="S125" s="387"/>
      <c r="T125" s="387"/>
      <c r="U125" s="387"/>
      <c r="V125" s="387"/>
      <c r="W125" s="387"/>
      <c r="X125" s="387"/>
      <c r="Y125" s="387"/>
      <c r="Z125" s="387"/>
      <c r="AA125" s="387"/>
      <c r="AB125" s="387"/>
      <c r="AC125" s="387"/>
      <c r="AD125" s="387"/>
      <c r="AE125" s="387"/>
      <c r="AF125" s="387"/>
      <c r="AG125" s="387"/>
      <c r="AH125" s="387"/>
      <c r="AI125" s="387"/>
      <c r="AJ125" s="387"/>
      <c r="AK125" s="387"/>
      <c r="AL125" s="387"/>
      <c r="AM125" s="387"/>
      <c r="AN125" s="387"/>
      <c r="AO125" s="387"/>
      <c r="AP125" s="387"/>
      <c r="AQ125" s="387"/>
      <c r="AR125" s="387"/>
      <c r="AS125" s="387"/>
      <c r="AT125" s="387"/>
      <c r="AU125" s="387"/>
      <c r="AV125" s="387"/>
      <c r="AW125" s="387"/>
      <c r="AX125" s="387"/>
      <c r="AY125" s="387"/>
      <c r="AZ125" s="387"/>
    </row>
    <row r="126" spans="2:52" ht="12.75">
      <c r="B126" s="387"/>
      <c r="C126" s="387"/>
      <c r="D126" s="387"/>
      <c r="E126" s="387"/>
      <c r="F126" s="387"/>
      <c r="G126" s="387"/>
      <c r="H126" s="387"/>
      <c r="I126" s="387"/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/>
      <c r="AC126" s="387"/>
      <c r="AD126" s="387"/>
      <c r="AE126" s="387"/>
      <c r="AF126" s="387"/>
      <c r="AG126" s="387"/>
      <c r="AH126" s="387"/>
      <c r="AI126" s="387"/>
      <c r="AJ126" s="387"/>
      <c r="AK126" s="387"/>
      <c r="AL126" s="387"/>
      <c r="AM126" s="387"/>
      <c r="AN126" s="387"/>
      <c r="AO126" s="387"/>
      <c r="AP126" s="387"/>
      <c r="AQ126" s="387"/>
      <c r="AR126" s="387"/>
      <c r="AS126" s="387"/>
      <c r="AT126" s="387"/>
      <c r="AU126" s="387"/>
      <c r="AV126" s="387"/>
      <c r="AW126" s="387"/>
      <c r="AX126" s="387"/>
      <c r="AY126" s="387"/>
      <c r="AZ126" s="387"/>
    </row>
    <row r="127" spans="2:52" ht="12.75">
      <c r="B127" s="387"/>
      <c r="C127" s="387"/>
      <c r="D127" s="387"/>
      <c r="E127" s="387"/>
      <c r="F127" s="387"/>
      <c r="G127" s="387"/>
      <c r="H127" s="387"/>
      <c r="I127" s="387"/>
      <c r="J127" s="387"/>
      <c r="K127" s="387"/>
      <c r="L127" s="387"/>
      <c r="M127" s="387"/>
      <c r="N127" s="387"/>
      <c r="O127" s="387"/>
      <c r="P127" s="387"/>
      <c r="Q127" s="387"/>
      <c r="R127" s="387"/>
      <c r="S127" s="387"/>
      <c r="T127" s="387"/>
      <c r="U127" s="387"/>
      <c r="V127" s="387"/>
      <c r="W127" s="387"/>
      <c r="X127" s="387"/>
      <c r="Y127" s="387"/>
      <c r="Z127" s="387"/>
      <c r="AA127" s="387"/>
      <c r="AB127" s="387"/>
      <c r="AC127" s="387"/>
      <c r="AD127" s="387"/>
      <c r="AE127" s="387"/>
      <c r="AF127" s="387"/>
      <c r="AG127" s="387"/>
      <c r="AH127" s="387"/>
      <c r="AI127" s="387"/>
      <c r="AJ127" s="387"/>
      <c r="AK127" s="387"/>
      <c r="AL127" s="387"/>
      <c r="AM127" s="387"/>
      <c r="AN127" s="387"/>
      <c r="AO127" s="387"/>
      <c r="AP127" s="387"/>
      <c r="AQ127" s="387"/>
      <c r="AR127" s="387"/>
      <c r="AS127" s="387"/>
      <c r="AT127" s="387"/>
      <c r="AU127" s="387"/>
      <c r="AV127" s="387"/>
      <c r="AW127" s="387"/>
      <c r="AX127" s="387"/>
      <c r="AY127" s="387"/>
      <c r="AZ127" s="387"/>
    </row>
    <row r="128" spans="2:52" ht="12.75">
      <c r="B128" s="387"/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  <c r="R128" s="387"/>
      <c r="S128" s="387"/>
      <c r="T128" s="387"/>
      <c r="U128" s="387"/>
      <c r="V128" s="387"/>
      <c r="W128" s="387"/>
      <c r="X128" s="387"/>
      <c r="Y128" s="387"/>
      <c r="Z128" s="387"/>
      <c r="AA128" s="387"/>
      <c r="AB128" s="387"/>
      <c r="AC128" s="387"/>
      <c r="AD128" s="387"/>
      <c r="AE128" s="387"/>
      <c r="AF128" s="387"/>
      <c r="AG128" s="387"/>
      <c r="AH128" s="387"/>
      <c r="AI128" s="387"/>
      <c r="AJ128" s="387"/>
      <c r="AK128" s="387"/>
      <c r="AL128" s="387"/>
      <c r="AM128" s="387"/>
      <c r="AN128" s="387"/>
      <c r="AO128" s="387"/>
      <c r="AP128" s="387"/>
      <c r="AQ128" s="387"/>
      <c r="AR128" s="387"/>
      <c r="AS128" s="387"/>
      <c r="AT128" s="387"/>
      <c r="AU128" s="387"/>
      <c r="AV128" s="387"/>
      <c r="AW128" s="387"/>
      <c r="AX128" s="387"/>
      <c r="AY128" s="387"/>
      <c r="AZ128" s="387"/>
    </row>
    <row r="129" spans="2:52" ht="12.75">
      <c r="B129" s="387"/>
      <c r="C129" s="387"/>
      <c r="D129" s="387"/>
      <c r="E129" s="387"/>
      <c r="F129" s="387"/>
      <c r="G129" s="387"/>
      <c r="H129" s="387"/>
      <c r="I129" s="387"/>
      <c r="J129" s="387"/>
      <c r="K129" s="387"/>
      <c r="L129" s="387"/>
      <c r="M129" s="387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  <c r="AC129" s="387"/>
      <c r="AD129" s="387"/>
      <c r="AE129" s="387"/>
      <c r="AF129" s="387"/>
      <c r="AG129" s="387"/>
      <c r="AH129" s="387"/>
      <c r="AI129" s="387"/>
      <c r="AJ129" s="387"/>
      <c r="AK129" s="387"/>
      <c r="AL129" s="387"/>
      <c r="AM129" s="387"/>
      <c r="AN129" s="387"/>
      <c r="AO129" s="387"/>
      <c r="AP129" s="387"/>
      <c r="AQ129" s="387"/>
      <c r="AR129" s="387"/>
      <c r="AS129" s="387"/>
      <c r="AT129" s="387"/>
      <c r="AU129" s="387"/>
      <c r="AV129" s="387"/>
      <c r="AW129" s="387"/>
      <c r="AX129" s="387"/>
      <c r="AY129" s="387"/>
      <c r="AZ129" s="387"/>
    </row>
    <row r="130" spans="2:52" ht="12.75">
      <c r="B130" s="387"/>
      <c r="C130" s="387"/>
      <c r="D130" s="387"/>
      <c r="E130" s="387"/>
      <c r="F130" s="387"/>
      <c r="G130" s="387"/>
      <c r="H130" s="387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87"/>
      <c r="AF130" s="387"/>
      <c r="AG130" s="387"/>
      <c r="AH130" s="387"/>
      <c r="AI130" s="387"/>
      <c r="AJ130" s="387"/>
      <c r="AK130" s="387"/>
      <c r="AL130" s="387"/>
      <c r="AM130" s="387"/>
      <c r="AN130" s="387"/>
      <c r="AO130" s="387"/>
      <c r="AP130" s="387"/>
      <c r="AQ130" s="387"/>
      <c r="AR130" s="387"/>
      <c r="AS130" s="387"/>
      <c r="AT130" s="387"/>
      <c r="AU130" s="387"/>
      <c r="AV130" s="387"/>
      <c r="AW130" s="387"/>
      <c r="AX130" s="387"/>
      <c r="AY130" s="387"/>
      <c r="AZ130" s="387"/>
    </row>
    <row r="131" spans="2:52" ht="12.75">
      <c r="B131" s="387"/>
      <c r="C131" s="387"/>
      <c r="D131" s="387"/>
      <c r="E131" s="387"/>
      <c r="F131" s="387"/>
      <c r="G131" s="387"/>
      <c r="H131" s="387"/>
      <c r="I131" s="387"/>
      <c r="J131" s="387"/>
      <c r="K131" s="387"/>
      <c r="L131" s="387"/>
      <c r="M131" s="387"/>
      <c r="N131" s="387"/>
      <c r="O131" s="387"/>
      <c r="P131" s="387"/>
      <c r="Q131" s="387"/>
      <c r="R131" s="387"/>
      <c r="S131" s="387"/>
      <c r="T131" s="387"/>
      <c r="U131" s="387"/>
      <c r="V131" s="387"/>
      <c r="W131" s="387"/>
      <c r="X131" s="387"/>
      <c r="Y131" s="387"/>
      <c r="Z131" s="387"/>
      <c r="AA131" s="387"/>
      <c r="AB131" s="387"/>
      <c r="AC131" s="387"/>
      <c r="AD131" s="387"/>
      <c r="AE131" s="387"/>
      <c r="AF131" s="387"/>
      <c r="AG131" s="387"/>
      <c r="AH131" s="387"/>
      <c r="AI131" s="387"/>
      <c r="AJ131" s="387"/>
      <c r="AK131" s="387"/>
      <c r="AL131" s="387"/>
      <c r="AM131" s="387"/>
      <c r="AN131" s="387"/>
      <c r="AO131" s="387"/>
      <c r="AP131" s="387"/>
      <c r="AQ131" s="387"/>
      <c r="AR131" s="387"/>
      <c r="AS131" s="387"/>
      <c r="AT131" s="387"/>
      <c r="AU131" s="387"/>
      <c r="AV131" s="387"/>
      <c r="AW131" s="387"/>
      <c r="AX131" s="387"/>
      <c r="AY131" s="387"/>
      <c r="AZ131" s="387"/>
    </row>
    <row r="132" spans="2:52" ht="12.75">
      <c r="B132" s="387"/>
      <c r="C132" s="387"/>
      <c r="D132" s="387"/>
      <c r="E132" s="387"/>
      <c r="F132" s="387"/>
      <c r="G132" s="387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  <c r="AI132" s="387"/>
      <c r="AJ132" s="387"/>
      <c r="AK132" s="387"/>
      <c r="AL132" s="387"/>
      <c r="AM132" s="387"/>
      <c r="AN132" s="387"/>
      <c r="AO132" s="387"/>
      <c r="AP132" s="387"/>
      <c r="AQ132" s="387"/>
      <c r="AR132" s="387"/>
      <c r="AS132" s="387"/>
      <c r="AT132" s="387"/>
      <c r="AU132" s="387"/>
      <c r="AV132" s="387"/>
      <c r="AW132" s="387"/>
      <c r="AX132" s="387"/>
      <c r="AY132" s="387"/>
      <c r="AZ132" s="387"/>
    </row>
    <row r="133" spans="2:52" ht="12.75">
      <c r="B133" s="387"/>
      <c r="C133" s="387"/>
      <c r="D133" s="387"/>
      <c r="E133" s="387"/>
      <c r="F133" s="387"/>
      <c r="G133" s="387"/>
      <c r="H133" s="387"/>
      <c r="I133" s="387"/>
      <c r="J133" s="387"/>
      <c r="K133" s="387"/>
      <c r="L133" s="387"/>
      <c r="M133" s="387"/>
      <c r="N133" s="387"/>
      <c r="O133" s="387"/>
      <c r="P133" s="387"/>
      <c r="Q133" s="387"/>
      <c r="R133" s="387"/>
      <c r="S133" s="387"/>
      <c r="T133" s="387"/>
      <c r="U133" s="387"/>
      <c r="V133" s="387"/>
      <c r="W133" s="387"/>
      <c r="X133" s="387"/>
      <c r="Y133" s="387"/>
      <c r="Z133" s="387"/>
      <c r="AA133" s="387"/>
      <c r="AB133" s="387"/>
      <c r="AC133" s="387"/>
      <c r="AD133" s="387"/>
      <c r="AE133" s="387"/>
      <c r="AF133" s="387"/>
      <c r="AG133" s="387"/>
      <c r="AH133" s="387"/>
      <c r="AI133" s="387"/>
      <c r="AJ133" s="387"/>
      <c r="AK133" s="387"/>
      <c r="AL133" s="387"/>
      <c r="AM133" s="387"/>
      <c r="AN133" s="387"/>
      <c r="AO133" s="387"/>
      <c r="AP133" s="387"/>
      <c r="AQ133" s="387"/>
      <c r="AR133" s="387"/>
      <c r="AS133" s="387"/>
      <c r="AT133" s="387"/>
      <c r="AU133" s="387"/>
      <c r="AV133" s="387"/>
      <c r="AW133" s="387"/>
      <c r="AX133" s="387"/>
      <c r="AY133" s="387"/>
      <c r="AZ133" s="387"/>
    </row>
    <row r="134" spans="2:52" ht="12.75">
      <c r="B134" s="387"/>
      <c r="C134" s="387"/>
      <c r="D134" s="387"/>
      <c r="E134" s="387"/>
      <c r="F134" s="387"/>
      <c r="G134" s="387"/>
      <c r="H134" s="387"/>
      <c r="I134" s="387"/>
      <c r="J134" s="387"/>
      <c r="K134" s="387"/>
      <c r="L134" s="387"/>
      <c r="M134" s="387"/>
      <c r="N134" s="387"/>
      <c r="O134" s="387"/>
      <c r="P134" s="387"/>
      <c r="Q134" s="387"/>
      <c r="R134" s="387"/>
      <c r="S134" s="387"/>
      <c r="T134" s="387"/>
      <c r="U134" s="387"/>
      <c r="V134" s="387"/>
      <c r="W134" s="387"/>
      <c r="X134" s="387"/>
      <c r="Y134" s="387"/>
      <c r="Z134" s="387"/>
      <c r="AA134" s="387"/>
      <c r="AB134" s="387"/>
      <c r="AC134" s="387"/>
      <c r="AD134" s="387"/>
      <c r="AE134" s="387"/>
      <c r="AF134" s="387"/>
      <c r="AG134" s="387"/>
      <c r="AH134" s="387"/>
      <c r="AI134" s="387"/>
      <c r="AJ134" s="387"/>
      <c r="AK134" s="387"/>
      <c r="AL134" s="387"/>
      <c r="AM134" s="387"/>
      <c r="AN134" s="387"/>
      <c r="AO134" s="387"/>
      <c r="AP134" s="387"/>
      <c r="AQ134" s="387"/>
      <c r="AR134" s="387"/>
      <c r="AS134" s="387"/>
      <c r="AT134" s="387"/>
      <c r="AU134" s="387"/>
      <c r="AV134" s="387"/>
      <c r="AW134" s="387"/>
      <c r="AX134" s="387"/>
      <c r="AY134" s="387"/>
      <c r="AZ134" s="387"/>
    </row>
    <row r="135" spans="2:52" ht="12.75">
      <c r="B135" s="387"/>
      <c r="C135" s="387"/>
      <c r="D135" s="387"/>
      <c r="E135" s="387"/>
      <c r="F135" s="387"/>
      <c r="G135" s="387"/>
      <c r="H135" s="387"/>
      <c r="I135" s="387"/>
      <c r="J135" s="387"/>
      <c r="K135" s="387"/>
      <c r="L135" s="387"/>
      <c r="M135" s="387"/>
      <c r="N135" s="387"/>
      <c r="O135" s="387"/>
      <c r="P135" s="387"/>
      <c r="Q135" s="387"/>
      <c r="R135" s="387"/>
      <c r="S135" s="387"/>
      <c r="T135" s="387"/>
      <c r="U135" s="387"/>
      <c r="V135" s="387"/>
      <c r="W135" s="387"/>
      <c r="X135" s="387"/>
      <c r="Y135" s="387"/>
      <c r="Z135" s="387"/>
      <c r="AA135" s="387"/>
      <c r="AB135" s="387"/>
      <c r="AC135" s="387"/>
      <c r="AD135" s="387"/>
      <c r="AE135" s="387"/>
      <c r="AF135" s="387"/>
      <c r="AG135" s="387"/>
      <c r="AH135" s="387"/>
      <c r="AI135" s="387"/>
      <c r="AJ135" s="387"/>
      <c r="AK135" s="387"/>
      <c r="AL135" s="387"/>
      <c r="AM135" s="387"/>
      <c r="AN135" s="387"/>
      <c r="AO135" s="387"/>
      <c r="AP135" s="387"/>
      <c r="AQ135" s="387"/>
      <c r="AR135" s="387"/>
      <c r="AS135" s="387"/>
      <c r="AT135" s="387"/>
      <c r="AU135" s="387"/>
      <c r="AV135" s="387"/>
      <c r="AW135" s="387"/>
      <c r="AX135" s="387"/>
      <c r="AY135" s="387"/>
      <c r="AZ135" s="387"/>
    </row>
    <row r="136" spans="2:52" ht="12.75">
      <c r="B136" s="387"/>
      <c r="C136" s="387"/>
      <c r="D136" s="387"/>
      <c r="E136" s="387"/>
      <c r="F136" s="387"/>
      <c r="G136" s="387"/>
      <c r="H136" s="387"/>
      <c r="I136" s="387"/>
      <c r="J136" s="387"/>
      <c r="K136" s="387"/>
      <c r="L136" s="387"/>
      <c r="M136" s="387"/>
      <c r="N136" s="387"/>
      <c r="O136" s="387"/>
      <c r="P136" s="387"/>
      <c r="Q136" s="387"/>
      <c r="R136" s="387"/>
      <c r="S136" s="387"/>
      <c r="T136" s="387"/>
      <c r="U136" s="387"/>
      <c r="V136" s="387"/>
      <c r="W136" s="387"/>
      <c r="X136" s="387"/>
      <c r="Y136" s="387"/>
      <c r="Z136" s="387"/>
      <c r="AA136" s="387"/>
      <c r="AB136" s="387"/>
      <c r="AC136" s="387"/>
      <c r="AD136" s="387"/>
      <c r="AE136" s="387"/>
      <c r="AF136" s="387"/>
      <c r="AG136" s="387"/>
      <c r="AH136" s="387"/>
      <c r="AI136" s="387"/>
      <c r="AJ136" s="387"/>
      <c r="AK136" s="387"/>
      <c r="AL136" s="387"/>
      <c r="AM136" s="387"/>
      <c r="AN136" s="387"/>
      <c r="AO136" s="387"/>
      <c r="AP136" s="387"/>
      <c r="AQ136" s="387"/>
      <c r="AR136" s="387"/>
      <c r="AS136" s="387"/>
      <c r="AT136" s="387"/>
      <c r="AU136" s="387"/>
      <c r="AV136" s="387"/>
      <c r="AW136" s="387"/>
      <c r="AX136" s="387"/>
      <c r="AY136" s="387"/>
      <c r="AZ136" s="387"/>
    </row>
    <row r="137" spans="2:52" ht="12.75">
      <c r="B137" s="387"/>
      <c r="C137" s="387"/>
      <c r="D137" s="387"/>
      <c r="E137" s="387"/>
      <c r="F137" s="387"/>
      <c r="G137" s="387"/>
      <c r="H137" s="387"/>
      <c r="I137" s="387"/>
      <c r="J137" s="387"/>
      <c r="K137" s="387"/>
      <c r="L137" s="387"/>
      <c r="M137" s="387"/>
      <c r="N137" s="387"/>
      <c r="O137" s="387"/>
      <c r="P137" s="387"/>
      <c r="Q137" s="387"/>
      <c r="R137" s="387"/>
      <c r="S137" s="387"/>
      <c r="T137" s="387"/>
      <c r="U137" s="387"/>
      <c r="V137" s="387"/>
      <c r="W137" s="387"/>
      <c r="X137" s="387"/>
      <c r="Y137" s="387"/>
      <c r="Z137" s="387"/>
      <c r="AA137" s="387"/>
      <c r="AB137" s="387"/>
      <c r="AC137" s="387"/>
      <c r="AD137" s="387"/>
      <c r="AE137" s="387"/>
      <c r="AF137" s="387"/>
      <c r="AG137" s="387"/>
      <c r="AH137" s="387"/>
      <c r="AI137" s="387"/>
      <c r="AJ137" s="387"/>
      <c r="AK137" s="387"/>
      <c r="AL137" s="387"/>
      <c r="AM137" s="387"/>
      <c r="AN137" s="387"/>
      <c r="AO137" s="387"/>
      <c r="AP137" s="387"/>
      <c r="AQ137" s="387"/>
      <c r="AR137" s="387"/>
      <c r="AS137" s="387"/>
      <c r="AT137" s="387"/>
      <c r="AU137" s="387"/>
      <c r="AV137" s="387"/>
      <c r="AW137" s="387"/>
      <c r="AX137" s="387"/>
      <c r="AY137" s="387"/>
      <c r="AZ137" s="387"/>
    </row>
    <row r="138" spans="2:52" ht="12.75">
      <c r="B138" s="387"/>
      <c r="C138" s="387"/>
      <c r="D138" s="387"/>
      <c r="E138" s="387"/>
      <c r="F138" s="387"/>
      <c r="G138" s="387"/>
      <c r="H138" s="387"/>
      <c r="I138" s="387"/>
      <c r="J138" s="387"/>
      <c r="K138" s="387"/>
      <c r="L138" s="387"/>
      <c r="M138" s="387"/>
      <c r="N138" s="387"/>
      <c r="O138" s="387"/>
      <c r="P138" s="387"/>
      <c r="Q138" s="387"/>
      <c r="R138" s="387"/>
      <c r="S138" s="387"/>
      <c r="T138" s="387"/>
      <c r="U138" s="387"/>
      <c r="V138" s="387"/>
      <c r="W138" s="387"/>
      <c r="X138" s="387"/>
      <c r="Y138" s="387"/>
      <c r="Z138" s="387"/>
      <c r="AA138" s="387"/>
      <c r="AB138" s="387"/>
      <c r="AC138" s="387"/>
      <c r="AD138" s="387"/>
      <c r="AE138" s="387"/>
      <c r="AF138" s="387"/>
      <c r="AG138" s="387"/>
      <c r="AH138" s="387"/>
      <c r="AI138" s="387"/>
      <c r="AJ138" s="387"/>
      <c r="AK138" s="387"/>
      <c r="AL138" s="387"/>
      <c r="AM138" s="387"/>
      <c r="AN138" s="387"/>
      <c r="AO138" s="387"/>
      <c r="AP138" s="387"/>
      <c r="AQ138" s="387"/>
      <c r="AR138" s="387"/>
      <c r="AS138" s="387"/>
      <c r="AT138" s="387"/>
      <c r="AU138" s="387"/>
      <c r="AV138" s="387"/>
      <c r="AW138" s="387"/>
      <c r="AX138" s="387"/>
      <c r="AY138" s="387"/>
      <c r="AZ138" s="387"/>
    </row>
    <row r="139" spans="2:52" ht="12.75">
      <c r="B139" s="387"/>
      <c r="C139" s="387"/>
      <c r="D139" s="387"/>
      <c r="E139" s="387"/>
      <c r="F139" s="387"/>
      <c r="G139" s="387"/>
      <c r="H139" s="387"/>
      <c r="I139" s="387"/>
      <c r="J139" s="387"/>
      <c r="K139" s="387"/>
      <c r="L139" s="387"/>
      <c r="M139" s="387"/>
      <c r="N139" s="387"/>
      <c r="O139" s="387"/>
      <c r="P139" s="387"/>
      <c r="Q139" s="387"/>
      <c r="R139" s="387"/>
      <c r="S139" s="387"/>
      <c r="T139" s="387"/>
      <c r="U139" s="387"/>
      <c r="V139" s="387"/>
      <c r="W139" s="387"/>
      <c r="X139" s="387"/>
      <c r="Y139" s="387"/>
      <c r="Z139" s="387"/>
      <c r="AA139" s="387"/>
      <c r="AB139" s="387"/>
      <c r="AC139" s="387"/>
      <c r="AD139" s="387"/>
      <c r="AE139" s="387"/>
      <c r="AF139" s="387"/>
      <c r="AG139" s="387"/>
      <c r="AH139" s="387"/>
      <c r="AI139" s="387"/>
      <c r="AJ139" s="387"/>
      <c r="AK139" s="387"/>
      <c r="AL139" s="387"/>
      <c r="AM139" s="387"/>
      <c r="AN139" s="387"/>
      <c r="AO139" s="387"/>
      <c r="AP139" s="387"/>
      <c r="AQ139" s="387"/>
      <c r="AR139" s="387"/>
      <c r="AS139" s="387"/>
      <c r="AT139" s="387"/>
      <c r="AU139" s="387"/>
      <c r="AV139" s="387"/>
      <c r="AW139" s="387"/>
      <c r="AX139" s="387"/>
      <c r="AY139" s="387"/>
      <c r="AZ139" s="387"/>
    </row>
    <row r="140" spans="2:52" ht="12.75">
      <c r="B140" s="387"/>
      <c r="C140" s="387"/>
      <c r="D140" s="387"/>
      <c r="E140" s="387"/>
      <c r="F140" s="387"/>
      <c r="G140" s="387"/>
      <c r="H140" s="387"/>
      <c r="I140" s="387"/>
      <c r="J140" s="387"/>
      <c r="K140" s="387"/>
      <c r="L140" s="387"/>
      <c r="M140" s="387"/>
      <c r="N140" s="387"/>
      <c r="O140" s="387"/>
      <c r="P140" s="387"/>
      <c r="Q140" s="387"/>
      <c r="R140" s="387"/>
      <c r="S140" s="387"/>
      <c r="T140" s="387"/>
      <c r="U140" s="387"/>
      <c r="V140" s="387"/>
      <c r="W140" s="387"/>
      <c r="X140" s="387"/>
      <c r="Y140" s="387"/>
      <c r="Z140" s="387"/>
      <c r="AA140" s="387"/>
      <c r="AB140" s="387"/>
      <c r="AC140" s="387"/>
      <c r="AD140" s="387"/>
      <c r="AE140" s="387"/>
      <c r="AF140" s="387"/>
      <c r="AG140" s="387"/>
      <c r="AH140" s="387"/>
      <c r="AI140" s="387"/>
      <c r="AJ140" s="387"/>
      <c r="AK140" s="387"/>
      <c r="AL140" s="387"/>
      <c r="AM140" s="387"/>
      <c r="AN140" s="387"/>
      <c r="AO140" s="387"/>
      <c r="AP140" s="387"/>
      <c r="AQ140" s="387"/>
      <c r="AR140" s="387"/>
      <c r="AS140" s="387"/>
      <c r="AT140" s="387"/>
      <c r="AU140" s="387"/>
      <c r="AV140" s="387"/>
      <c r="AW140" s="387"/>
      <c r="AX140" s="387"/>
      <c r="AY140" s="387"/>
      <c r="AZ140" s="387"/>
    </row>
    <row r="141" spans="2:52" ht="12.75">
      <c r="B141" s="387"/>
      <c r="C141" s="387"/>
      <c r="D141" s="387"/>
      <c r="E141" s="387"/>
      <c r="F141" s="387"/>
      <c r="G141" s="387"/>
      <c r="H141" s="387"/>
      <c r="I141" s="387"/>
      <c r="J141" s="387"/>
      <c r="K141" s="387"/>
      <c r="L141" s="387"/>
      <c r="M141" s="387"/>
      <c r="N141" s="387"/>
      <c r="O141" s="387"/>
      <c r="P141" s="387"/>
      <c r="Q141" s="387"/>
      <c r="R141" s="387"/>
      <c r="S141" s="387"/>
      <c r="T141" s="387"/>
      <c r="U141" s="387"/>
      <c r="V141" s="387"/>
      <c r="W141" s="387"/>
      <c r="X141" s="387"/>
      <c r="Y141" s="387"/>
      <c r="Z141" s="387"/>
      <c r="AA141" s="387"/>
      <c r="AB141" s="387"/>
      <c r="AC141" s="387"/>
      <c r="AD141" s="387"/>
      <c r="AE141" s="387"/>
      <c r="AF141" s="387"/>
      <c r="AG141" s="387"/>
      <c r="AH141" s="387"/>
      <c r="AI141" s="387"/>
      <c r="AJ141" s="387"/>
      <c r="AK141" s="387"/>
      <c r="AL141" s="387"/>
      <c r="AM141" s="387"/>
      <c r="AN141" s="387"/>
      <c r="AO141" s="387"/>
      <c r="AP141" s="387"/>
      <c r="AQ141" s="387"/>
      <c r="AR141" s="387"/>
      <c r="AS141" s="387"/>
      <c r="AT141" s="387"/>
      <c r="AU141" s="387"/>
      <c r="AV141" s="387"/>
      <c r="AW141" s="387"/>
      <c r="AX141" s="387"/>
      <c r="AY141" s="387"/>
      <c r="AZ141" s="387"/>
    </row>
    <row r="142" spans="2:52" ht="12.75">
      <c r="B142" s="387"/>
      <c r="C142" s="387"/>
      <c r="D142" s="387"/>
      <c r="E142" s="387"/>
      <c r="F142" s="387"/>
      <c r="G142" s="387"/>
      <c r="H142" s="387"/>
      <c r="I142" s="387"/>
      <c r="J142" s="387"/>
      <c r="K142" s="387"/>
      <c r="L142" s="387"/>
      <c r="M142" s="387"/>
      <c r="N142" s="387"/>
      <c r="O142" s="387"/>
      <c r="P142" s="387"/>
      <c r="Q142" s="387"/>
      <c r="R142" s="387"/>
      <c r="S142" s="387"/>
      <c r="T142" s="387"/>
      <c r="U142" s="387"/>
      <c r="V142" s="387"/>
      <c r="W142" s="387"/>
      <c r="X142" s="387"/>
      <c r="Y142" s="387"/>
      <c r="Z142" s="387"/>
      <c r="AA142" s="387"/>
      <c r="AB142" s="387"/>
      <c r="AC142" s="387"/>
      <c r="AD142" s="387"/>
      <c r="AE142" s="387"/>
      <c r="AF142" s="387"/>
      <c r="AG142" s="387"/>
      <c r="AH142" s="387"/>
      <c r="AI142" s="387"/>
      <c r="AJ142" s="387"/>
      <c r="AK142" s="387"/>
      <c r="AL142" s="387"/>
      <c r="AM142" s="387"/>
      <c r="AN142" s="387"/>
      <c r="AO142" s="387"/>
      <c r="AP142" s="387"/>
      <c r="AQ142" s="387"/>
      <c r="AR142" s="387"/>
      <c r="AS142" s="387"/>
      <c r="AT142" s="387"/>
      <c r="AU142" s="387"/>
      <c r="AV142" s="387"/>
      <c r="AW142" s="387"/>
      <c r="AX142" s="387"/>
      <c r="AY142" s="387"/>
      <c r="AZ142" s="387"/>
    </row>
    <row r="143" spans="2:52" ht="12.75">
      <c r="B143" s="387"/>
      <c r="C143" s="387"/>
      <c r="D143" s="387"/>
      <c r="E143" s="387"/>
      <c r="F143" s="387"/>
      <c r="G143" s="387"/>
      <c r="H143" s="387"/>
      <c r="I143" s="387"/>
      <c r="J143" s="387"/>
      <c r="K143" s="387"/>
      <c r="L143" s="387"/>
      <c r="M143" s="387"/>
      <c r="N143" s="387"/>
      <c r="O143" s="387"/>
      <c r="P143" s="387"/>
      <c r="Q143" s="387"/>
      <c r="R143" s="387"/>
      <c r="S143" s="387"/>
      <c r="T143" s="387"/>
      <c r="U143" s="387"/>
      <c r="V143" s="387"/>
      <c r="W143" s="387"/>
      <c r="X143" s="387"/>
      <c r="Y143" s="387"/>
      <c r="Z143" s="387"/>
      <c r="AA143" s="387"/>
      <c r="AB143" s="387"/>
      <c r="AC143" s="387"/>
      <c r="AD143" s="387"/>
      <c r="AE143" s="387"/>
      <c r="AF143" s="387"/>
      <c r="AG143" s="387"/>
      <c r="AH143" s="387"/>
      <c r="AI143" s="387"/>
      <c r="AJ143" s="387"/>
      <c r="AK143" s="387"/>
      <c r="AL143" s="387"/>
      <c r="AM143" s="387"/>
      <c r="AN143" s="387"/>
      <c r="AO143" s="387"/>
      <c r="AP143" s="387"/>
      <c r="AQ143" s="387"/>
      <c r="AR143" s="387"/>
      <c r="AS143" s="387"/>
      <c r="AT143" s="387"/>
      <c r="AU143" s="387"/>
      <c r="AV143" s="387"/>
      <c r="AW143" s="387"/>
      <c r="AX143" s="387"/>
      <c r="AY143" s="387"/>
      <c r="AZ143" s="387"/>
    </row>
    <row r="144" spans="2:52" ht="12.75">
      <c r="B144" s="387"/>
      <c r="C144" s="387"/>
      <c r="D144" s="387"/>
      <c r="E144" s="387"/>
      <c r="F144" s="387"/>
      <c r="G144" s="387"/>
      <c r="H144" s="387"/>
      <c r="I144" s="387"/>
      <c r="J144" s="387"/>
      <c r="K144" s="387"/>
      <c r="L144" s="387"/>
      <c r="M144" s="387"/>
      <c r="N144" s="387"/>
      <c r="O144" s="387"/>
      <c r="P144" s="387"/>
      <c r="Q144" s="387"/>
      <c r="R144" s="387"/>
      <c r="S144" s="387"/>
      <c r="T144" s="387"/>
      <c r="U144" s="387"/>
      <c r="V144" s="387"/>
      <c r="W144" s="387"/>
      <c r="X144" s="387"/>
      <c r="Y144" s="387"/>
      <c r="Z144" s="387"/>
      <c r="AA144" s="387"/>
      <c r="AB144" s="387"/>
      <c r="AC144" s="387"/>
      <c r="AD144" s="387"/>
      <c r="AE144" s="387"/>
      <c r="AF144" s="387"/>
      <c r="AG144" s="387"/>
      <c r="AH144" s="387"/>
      <c r="AI144" s="387"/>
      <c r="AJ144" s="387"/>
      <c r="AK144" s="387"/>
      <c r="AL144" s="387"/>
      <c r="AM144" s="387"/>
      <c r="AN144" s="387"/>
      <c r="AO144" s="387"/>
      <c r="AP144" s="387"/>
      <c r="AQ144" s="387"/>
      <c r="AR144" s="387"/>
      <c r="AS144" s="387"/>
      <c r="AT144" s="387"/>
      <c r="AU144" s="387"/>
      <c r="AV144" s="387"/>
      <c r="AW144" s="387"/>
      <c r="AX144" s="387"/>
      <c r="AY144" s="387"/>
      <c r="AZ144" s="387"/>
    </row>
    <row r="145" spans="2:52" ht="12.75">
      <c r="B145" s="387"/>
      <c r="C145" s="387"/>
      <c r="D145" s="387"/>
      <c r="E145" s="387"/>
      <c r="F145" s="387"/>
      <c r="G145" s="387"/>
      <c r="H145" s="387"/>
      <c r="I145" s="387"/>
      <c r="J145" s="387"/>
      <c r="K145" s="387"/>
      <c r="L145" s="387"/>
      <c r="M145" s="387"/>
      <c r="N145" s="387"/>
      <c r="O145" s="387"/>
      <c r="P145" s="387"/>
      <c r="Q145" s="387"/>
      <c r="R145" s="387"/>
      <c r="S145" s="387"/>
      <c r="T145" s="387"/>
      <c r="U145" s="387"/>
      <c r="V145" s="387"/>
      <c r="W145" s="387"/>
      <c r="X145" s="387"/>
      <c r="Y145" s="387"/>
      <c r="Z145" s="387"/>
      <c r="AA145" s="387"/>
      <c r="AB145" s="387"/>
      <c r="AC145" s="387"/>
      <c r="AD145" s="387"/>
      <c r="AE145" s="387"/>
      <c r="AF145" s="387"/>
      <c r="AG145" s="387"/>
      <c r="AH145" s="387"/>
      <c r="AI145" s="387"/>
      <c r="AJ145" s="387"/>
      <c r="AK145" s="387"/>
      <c r="AL145" s="387"/>
      <c r="AM145" s="387"/>
      <c r="AN145" s="387"/>
      <c r="AO145" s="387"/>
      <c r="AP145" s="387"/>
      <c r="AQ145" s="387"/>
      <c r="AR145" s="387"/>
      <c r="AS145" s="387"/>
      <c r="AT145" s="387"/>
      <c r="AU145" s="387"/>
      <c r="AV145" s="387"/>
      <c r="AW145" s="387"/>
      <c r="AX145" s="387"/>
      <c r="AY145" s="387"/>
      <c r="AZ145" s="387"/>
    </row>
    <row r="146" spans="2:52" ht="12.75">
      <c r="B146" s="387"/>
      <c r="C146" s="387"/>
      <c r="D146" s="387"/>
      <c r="E146" s="387"/>
      <c r="F146" s="387"/>
      <c r="G146" s="387"/>
      <c r="H146" s="387"/>
      <c r="I146" s="387"/>
      <c r="J146" s="387"/>
      <c r="K146" s="387"/>
      <c r="L146" s="387"/>
      <c r="M146" s="387"/>
      <c r="N146" s="387"/>
      <c r="O146" s="387"/>
      <c r="P146" s="387"/>
      <c r="Q146" s="387"/>
      <c r="R146" s="387"/>
      <c r="S146" s="387"/>
      <c r="T146" s="387"/>
      <c r="U146" s="387"/>
      <c r="V146" s="387"/>
      <c r="W146" s="387"/>
      <c r="X146" s="387"/>
      <c r="Y146" s="387"/>
      <c r="Z146" s="387"/>
      <c r="AA146" s="387"/>
      <c r="AB146" s="387"/>
      <c r="AC146" s="387"/>
      <c r="AD146" s="387"/>
      <c r="AE146" s="387"/>
      <c r="AF146" s="387"/>
      <c r="AG146" s="387"/>
      <c r="AH146" s="387"/>
      <c r="AI146" s="387"/>
      <c r="AJ146" s="387"/>
      <c r="AK146" s="387"/>
      <c r="AL146" s="387"/>
      <c r="AM146" s="387"/>
      <c r="AN146" s="387"/>
      <c r="AO146" s="387"/>
      <c r="AP146" s="387"/>
      <c r="AQ146" s="387"/>
      <c r="AR146" s="387"/>
      <c r="AS146" s="387"/>
      <c r="AT146" s="387"/>
      <c r="AU146" s="387"/>
      <c r="AV146" s="387"/>
      <c r="AW146" s="387"/>
      <c r="AX146" s="387"/>
      <c r="AY146" s="387"/>
      <c r="AZ146" s="387"/>
    </row>
    <row r="147" spans="2:52" ht="12.75">
      <c r="B147" s="387"/>
      <c r="C147" s="387"/>
      <c r="D147" s="387"/>
      <c r="E147" s="387"/>
      <c r="F147" s="387"/>
      <c r="G147" s="387"/>
      <c r="H147" s="387"/>
      <c r="I147" s="387"/>
      <c r="J147" s="387"/>
      <c r="K147" s="387"/>
      <c r="L147" s="387"/>
      <c r="M147" s="387"/>
      <c r="N147" s="387"/>
      <c r="O147" s="387"/>
      <c r="P147" s="387"/>
      <c r="Q147" s="387"/>
      <c r="R147" s="387"/>
      <c r="S147" s="387"/>
      <c r="T147" s="387"/>
      <c r="U147" s="387"/>
      <c r="V147" s="387"/>
      <c r="W147" s="387"/>
      <c r="X147" s="387"/>
      <c r="Y147" s="387"/>
      <c r="Z147" s="387"/>
      <c r="AA147" s="387"/>
      <c r="AB147" s="387"/>
      <c r="AC147" s="387"/>
      <c r="AD147" s="387"/>
      <c r="AE147" s="387"/>
      <c r="AF147" s="387"/>
      <c r="AG147" s="387"/>
      <c r="AH147" s="387"/>
      <c r="AI147" s="387"/>
      <c r="AJ147" s="387"/>
      <c r="AK147" s="387"/>
      <c r="AL147" s="387"/>
      <c r="AM147" s="387"/>
      <c r="AN147" s="387"/>
      <c r="AO147" s="387"/>
      <c r="AP147" s="387"/>
      <c r="AQ147" s="387"/>
      <c r="AR147" s="387"/>
      <c r="AS147" s="387"/>
      <c r="AT147" s="387"/>
      <c r="AU147" s="387"/>
      <c r="AV147" s="387"/>
      <c r="AW147" s="387"/>
      <c r="AX147" s="387"/>
      <c r="AY147" s="387"/>
      <c r="AZ147" s="387"/>
    </row>
    <row r="148" spans="2:52" ht="12.75">
      <c r="B148" s="387"/>
      <c r="C148" s="387"/>
      <c r="D148" s="387"/>
      <c r="E148" s="387"/>
      <c r="F148" s="387"/>
      <c r="G148" s="387"/>
      <c r="H148" s="387"/>
      <c r="I148" s="387"/>
      <c r="J148" s="387"/>
      <c r="K148" s="387"/>
      <c r="L148" s="387"/>
      <c r="M148" s="387"/>
      <c r="N148" s="387"/>
      <c r="O148" s="387"/>
      <c r="P148" s="387"/>
      <c r="Q148" s="387"/>
      <c r="R148" s="387"/>
      <c r="S148" s="387"/>
      <c r="T148" s="387"/>
      <c r="U148" s="387"/>
      <c r="V148" s="387"/>
      <c r="W148" s="387"/>
      <c r="X148" s="387"/>
      <c r="Y148" s="387"/>
      <c r="Z148" s="387"/>
      <c r="AA148" s="387"/>
      <c r="AB148" s="387"/>
      <c r="AC148" s="387"/>
      <c r="AD148" s="387"/>
      <c r="AE148" s="387"/>
      <c r="AF148" s="387"/>
      <c r="AG148" s="387"/>
      <c r="AH148" s="387"/>
      <c r="AI148" s="387"/>
      <c r="AJ148" s="387"/>
      <c r="AK148" s="387"/>
      <c r="AL148" s="387"/>
      <c r="AM148" s="387"/>
      <c r="AN148" s="387"/>
      <c r="AO148" s="387"/>
      <c r="AP148" s="387"/>
      <c r="AQ148" s="387"/>
      <c r="AR148" s="387"/>
      <c r="AS148" s="387"/>
      <c r="AT148" s="387"/>
      <c r="AU148" s="387"/>
      <c r="AV148" s="387"/>
      <c r="AW148" s="387"/>
      <c r="AX148" s="387"/>
      <c r="AY148" s="387"/>
      <c r="AZ148" s="387"/>
    </row>
    <row r="149" spans="2:52" ht="12.75">
      <c r="B149" s="387"/>
      <c r="C149" s="387"/>
      <c r="D149" s="387"/>
      <c r="E149" s="387"/>
      <c r="F149" s="387"/>
      <c r="G149" s="387"/>
      <c r="H149" s="387"/>
      <c r="I149" s="387"/>
      <c r="J149" s="387"/>
      <c r="K149" s="387"/>
      <c r="L149" s="387"/>
      <c r="M149" s="387"/>
      <c r="N149" s="387"/>
      <c r="O149" s="387"/>
      <c r="P149" s="387"/>
      <c r="Q149" s="387"/>
      <c r="R149" s="387"/>
      <c r="S149" s="387"/>
      <c r="T149" s="387"/>
      <c r="U149" s="387"/>
      <c r="V149" s="387"/>
      <c r="W149" s="387"/>
      <c r="X149" s="387"/>
      <c r="Y149" s="387"/>
      <c r="Z149" s="387"/>
      <c r="AA149" s="387"/>
      <c r="AB149" s="387"/>
      <c r="AC149" s="387"/>
      <c r="AD149" s="387"/>
      <c r="AE149" s="387"/>
      <c r="AF149" s="387"/>
      <c r="AG149" s="387"/>
      <c r="AH149" s="387"/>
      <c r="AI149" s="387"/>
      <c r="AJ149" s="387"/>
      <c r="AK149" s="387"/>
      <c r="AL149" s="387"/>
      <c r="AM149" s="387"/>
      <c r="AN149" s="387"/>
      <c r="AO149" s="387"/>
      <c r="AP149" s="387"/>
      <c r="AQ149" s="387"/>
      <c r="AR149" s="387"/>
      <c r="AS149" s="387"/>
      <c r="AT149" s="387"/>
      <c r="AU149" s="387"/>
      <c r="AV149" s="387"/>
      <c r="AW149" s="387"/>
      <c r="AX149" s="387"/>
      <c r="AY149" s="387"/>
      <c r="AZ149" s="387"/>
    </row>
    <row r="150" spans="2:52" ht="12.75">
      <c r="B150" s="387"/>
      <c r="C150" s="387"/>
      <c r="D150" s="387"/>
      <c r="E150" s="387"/>
      <c r="F150" s="387"/>
      <c r="G150" s="387"/>
      <c r="H150" s="387"/>
      <c r="I150" s="387"/>
      <c r="J150" s="387"/>
      <c r="K150" s="387"/>
      <c r="L150" s="387"/>
      <c r="M150" s="387"/>
      <c r="N150" s="387"/>
      <c r="O150" s="387"/>
      <c r="P150" s="387"/>
      <c r="Q150" s="387"/>
      <c r="R150" s="387"/>
      <c r="S150" s="387"/>
      <c r="T150" s="387"/>
      <c r="U150" s="387"/>
      <c r="V150" s="387"/>
      <c r="W150" s="387"/>
      <c r="X150" s="387"/>
      <c r="Y150" s="387"/>
      <c r="Z150" s="387"/>
      <c r="AA150" s="387"/>
      <c r="AB150" s="387"/>
      <c r="AC150" s="387"/>
      <c r="AD150" s="387"/>
      <c r="AE150" s="387"/>
      <c r="AF150" s="387"/>
      <c r="AG150" s="387"/>
      <c r="AH150" s="387"/>
      <c r="AI150" s="387"/>
      <c r="AJ150" s="387"/>
      <c r="AK150" s="387"/>
      <c r="AL150" s="387"/>
      <c r="AM150" s="387"/>
      <c r="AN150" s="387"/>
      <c r="AO150" s="387"/>
      <c r="AP150" s="387"/>
      <c r="AQ150" s="387"/>
      <c r="AR150" s="387"/>
      <c r="AS150" s="387"/>
      <c r="AT150" s="387"/>
      <c r="AU150" s="387"/>
      <c r="AV150" s="387"/>
      <c r="AW150" s="387"/>
      <c r="AX150" s="387"/>
      <c r="AY150" s="387"/>
      <c r="AZ150" s="387"/>
    </row>
    <row r="151" spans="2:52" ht="12.75">
      <c r="B151" s="387"/>
      <c r="C151" s="387"/>
      <c r="D151" s="387"/>
      <c r="E151" s="387"/>
      <c r="F151" s="387"/>
      <c r="G151" s="387"/>
      <c r="H151" s="387"/>
      <c r="I151" s="387"/>
      <c r="J151" s="387"/>
      <c r="K151" s="387"/>
      <c r="L151" s="387"/>
      <c r="M151" s="387"/>
      <c r="N151" s="387"/>
      <c r="O151" s="387"/>
      <c r="P151" s="387"/>
      <c r="Q151" s="387"/>
      <c r="R151" s="387"/>
      <c r="S151" s="387"/>
      <c r="T151" s="387"/>
      <c r="U151" s="387"/>
      <c r="V151" s="387"/>
      <c r="W151" s="387"/>
      <c r="X151" s="387"/>
      <c r="Y151" s="387"/>
      <c r="Z151" s="387"/>
      <c r="AA151" s="387"/>
      <c r="AB151" s="387"/>
      <c r="AC151" s="387"/>
      <c r="AD151" s="387"/>
      <c r="AE151" s="387"/>
      <c r="AF151" s="387"/>
      <c r="AG151" s="387"/>
      <c r="AH151" s="387"/>
      <c r="AI151" s="387"/>
      <c r="AJ151" s="387"/>
      <c r="AK151" s="387"/>
      <c r="AL151" s="387"/>
      <c r="AM151" s="387"/>
      <c r="AN151" s="387"/>
      <c r="AO151" s="387"/>
      <c r="AP151" s="387"/>
      <c r="AQ151" s="387"/>
      <c r="AR151" s="387"/>
      <c r="AS151" s="387"/>
      <c r="AT151" s="387"/>
      <c r="AU151" s="387"/>
      <c r="AV151" s="387"/>
      <c r="AW151" s="387"/>
      <c r="AX151" s="387"/>
      <c r="AY151" s="387"/>
      <c r="AZ151" s="387"/>
    </row>
    <row r="152" spans="2:52" ht="12.75">
      <c r="B152" s="387"/>
      <c r="C152" s="387"/>
      <c r="D152" s="387"/>
      <c r="E152" s="387"/>
      <c r="F152" s="387"/>
      <c r="G152" s="387"/>
      <c r="H152" s="387"/>
      <c r="I152" s="387"/>
      <c r="J152" s="387"/>
      <c r="K152" s="387"/>
      <c r="L152" s="387"/>
      <c r="M152" s="387"/>
      <c r="N152" s="387"/>
      <c r="O152" s="387"/>
      <c r="P152" s="387"/>
      <c r="Q152" s="387"/>
      <c r="R152" s="387"/>
      <c r="S152" s="387"/>
      <c r="T152" s="387"/>
      <c r="U152" s="387"/>
      <c r="V152" s="387"/>
      <c r="W152" s="387"/>
      <c r="X152" s="387"/>
      <c r="Y152" s="387"/>
      <c r="Z152" s="387"/>
      <c r="AA152" s="387"/>
      <c r="AB152" s="387"/>
      <c r="AC152" s="387"/>
      <c r="AD152" s="387"/>
      <c r="AE152" s="387"/>
      <c r="AF152" s="387"/>
      <c r="AG152" s="387"/>
      <c r="AH152" s="387"/>
      <c r="AI152" s="387"/>
      <c r="AJ152" s="387"/>
      <c r="AK152" s="387"/>
      <c r="AL152" s="387"/>
      <c r="AM152" s="387"/>
      <c r="AN152" s="387"/>
      <c r="AO152" s="387"/>
      <c r="AP152" s="387"/>
      <c r="AQ152" s="387"/>
      <c r="AR152" s="387"/>
      <c r="AS152" s="387"/>
      <c r="AT152" s="387"/>
      <c r="AU152" s="387"/>
      <c r="AV152" s="387"/>
      <c r="AW152" s="387"/>
      <c r="AX152" s="387"/>
      <c r="AY152" s="387"/>
      <c r="AZ152" s="387"/>
    </row>
    <row r="153" spans="2:52" ht="12.75">
      <c r="B153" s="387"/>
      <c r="C153" s="387"/>
      <c r="D153" s="387"/>
      <c r="E153" s="387"/>
      <c r="F153" s="387"/>
      <c r="G153" s="387"/>
      <c r="H153" s="387"/>
      <c r="I153" s="387"/>
      <c r="J153" s="387"/>
      <c r="K153" s="387"/>
      <c r="L153" s="387"/>
      <c r="M153" s="387"/>
      <c r="N153" s="387"/>
      <c r="O153" s="387"/>
      <c r="P153" s="387"/>
      <c r="Q153" s="387"/>
      <c r="R153" s="387"/>
      <c r="S153" s="387"/>
      <c r="T153" s="387"/>
      <c r="U153" s="387"/>
      <c r="V153" s="387"/>
      <c r="W153" s="387"/>
      <c r="X153" s="387"/>
      <c r="Y153" s="387"/>
      <c r="Z153" s="387"/>
      <c r="AA153" s="387"/>
      <c r="AB153" s="387"/>
      <c r="AC153" s="387"/>
      <c r="AD153" s="387"/>
      <c r="AE153" s="387"/>
      <c r="AF153" s="387"/>
      <c r="AG153" s="387"/>
      <c r="AH153" s="387"/>
      <c r="AI153" s="387"/>
      <c r="AJ153" s="387"/>
      <c r="AK153" s="387"/>
      <c r="AL153" s="387"/>
      <c r="AM153" s="387"/>
      <c r="AN153" s="387"/>
      <c r="AO153" s="387"/>
      <c r="AP153" s="387"/>
      <c r="AQ153" s="387"/>
      <c r="AR153" s="387"/>
      <c r="AS153" s="387"/>
      <c r="AT153" s="387"/>
      <c r="AU153" s="387"/>
      <c r="AV153" s="387"/>
      <c r="AW153" s="387"/>
      <c r="AX153" s="387"/>
      <c r="AY153" s="387"/>
      <c r="AZ153" s="387"/>
    </row>
    <row r="154" spans="2:52" ht="12.75">
      <c r="B154" s="387"/>
      <c r="C154" s="387"/>
      <c r="D154" s="387"/>
      <c r="E154" s="387"/>
      <c r="F154" s="387"/>
      <c r="G154" s="387"/>
      <c r="H154" s="387"/>
      <c r="I154" s="387"/>
      <c r="J154" s="387"/>
      <c r="K154" s="387"/>
      <c r="L154" s="387"/>
      <c r="M154" s="387"/>
      <c r="N154" s="387"/>
      <c r="O154" s="387"/>
      <c r="P154" s="387"/>
      <c r="Q154" s="387"/>
      <c r="R154" s="387"/>
      <c r="S154" s="387"/>
      <c r="T154" s="387"/>
      <c r="U154" s="387"/>
      <c r="V154" s="387"/>
      <c r="W154" s="387"/>
      <c r="X154" s="387"/>
      <c r="Y154" s="387"/>
      <c r="Z154" s="387"/>
      <c r="AA154" s="387"/>
      <c r="AB154" s="387"/>
      <c r="AC154" s="387"/>
      <c r="AD154" s="387"/>
      <c r="AE154" s="387"/>
      <c r="AF154" s="387"/>
      <c r="AG154" s="387"/>
      <c r="AH154" s="387"/>
      <c r="AI154" s="387"/>
      <c r="AJ154" s="387"/>
      <c r="AK154" s="387"/>
      <c r="AL154" s="387"/>
      <c r="AM154" s="387"/>
      <c r="AN154" s="387"/>
      <c r="AO154" s="387"/>
      <c r="AP154" s="387"/>
      <c r="AQ154" s="387"/>
      <c r="AR154" s="387"/>
      <c r="AS154" s="387"/>
      <c r="AT154" s="387"/>
      <c r="AU154" s="387"/>
      <c r="AV154" s="387"/>
      <c r="AW154" s="387"/>
      <c r="AX154" s="387"/>
      <c r="AY154" s="387"/>
      <c r="AZ154" s="387"/>
    </row>
    <row r="155" spans="2:52" ht="12.75">
      <c r="B155" s="387"/>
      <c r="C155" s="387"/>
      <c r="D155" s="387"/>
      <c r="E155" s="387"/>
      <c r="F155" s="387"/>
      <c r="G155" s="387"/>
      <c r="H155" s="387"/>
      <c r="I155" s="387"/>
      <c r="J155" s="387"/>
      <c r="K155" s="387"/>
      <c r="L155" s="387"/>
      <c r="M155" s="387"/>
      <c r="N155" s="387"/>
      <c r="O155" s="387"/>
      <c r="P155" s="387"/>
      <c r="Q155" s="387"/>
      <c r="R155" s="387"/>
      <c r="S155" s="387"/>
      <c r="T155" s="387"/>
      <c r="U155" s="387"/>
      <c r="V155" s="387"/>
      <c r="W155" s="387"/>
      <c r="X155" s="387"/>
      <c r="Y155" s="387"/>
      <c r="Z155" s="387"/>
      <c r="AA155" s="387"/>
      <c r="AB155" s="387"/>
      <c r="AC155" s="387"/>
      <c r="AD155" s="387"/>
      <c r="AE155" s="387"/>
      <c r="AF155" s="387"/>
      <c r="AG155" s="387"/>
      <c r="AH155" s="387"/>
      <c r="AI155" s="387"/>
      <c r="AJ155" s="387"/>
      <c r="AK155" s="387"/>
      <c r="AL155" s="387"/>
      <c r="AM155" s="387"/>
      <c r="AN155" s="387"/>
      <c r="AO155" s="387"/>
      <c r="AP155" s="387"/>
      <c r="AQ155" s="387"/>
      <c r="AR155" s="387"/>
      <c r="AS155" s="387"/>
      <c r="AT155" s="387"/>
      <c r="AU155" s="387"/>
      <c r="AV155" s="387"/>
      <c r="AW155" s="387"/>
      <c r="AX155" s="387"/>
      <c r="AY155" s="387"/>
      <c r="AZ155" s="387"/>
    </row>
    <row r="156" spans="2:52" ht="12.75">
      <c r="B156" s="387"/>
      <c r="C156" s="387"/>
      <c r="D156" s="387"/>
      <c r="E156" s="387"/>
      <c r="F156" s="387"/>
      <c r="G156" s="387"/>
      <c r="H156" s="387"/>
      <c r="I156" s="387"/>
      <c r="J156" s="387"/>
      <c r="K156" s="387"/>
      <c r="L156" s="387"/>
      <c r="M156" s="387"/>
      <c r="N156" s="387"/>
      <c r="O156" s="387"/>
      <c r="P156" s="387"/>
      <c r="Q156" s="387"/>
      <c r="R156" s="387"/>
      <c r="S156" s="387"/>
      <c r="T156" s="387"/>
      <c r="U156" s="387"/>
      <c r="V156" s="387"/>
      <c r="W156" s="387"/>
      <c r="X156" s="387"/>
      <c r="Y156" s="387"/>
      <c r="Z156" s="387"/>
      <c r="AA156" s="387"/>
      <c r="AB156" s="387"/>
      <c r="AC156" s="387"/>
      <c r="AD156" s="387"/>
      <c r="AE156" s="387"/>
      <c r="AF156" s="387"/>
      <c r="AG156" s="387"/>
      <c r="AH156" s="387"/>
      <c r="AI156" s="387"/>
      <c r="AJ156" s="387"/>
      <c r="AK156" s="387"/>
      <c r="AL156" s="387"/>
      <c r="AM156" s="387"/>
      <c r="AN156" s="387"/>
      <c r="AO156" s="387"/>
      <c r="AP156" s="387"/>
      <c r="AQ156" s="387"/>
      <c r="AR156" s="387"/>
      <c r="AS156" s="387"/>
      <c r="AT156" s="387"/>
      <c r="AU156" s="387"/>
      <c r="AV156" s="387"/>
      <c r="AW156" s="387"/>
      <c r="AX156" s="387"/>
      <c r="AY156" s="387"/>
      <c r="AZ156" s="387"/>
    </row>
    <row r="157" spans="2:52" ht="12.75">
      <c r="B157" s="387"/>
      <c r="C157" s="387"/>
      <c r="D157" s="387"/>
      <c r="E157" s="387"/>
      <c r="F157" s="387"/>
      <c r="G157" s="387"/>
      <c r="H157" s="387"/>
      <c r="I157" s="387"/>
      <c r="J157" s="387"/>
      <c r="K157" s="387"/>
      <c r="L157" s="387"/>
      <c r="M157" s="387"/>
      <c r="N157" s="387"/>
      <c r="O157" s="387"/>
      <c r="P157" s="387"/>
      <c r="Q157" s="387"/>
      <c r="R157" s="387"/>
      <c r="S157" s="387"/>
      <c r="T157" s="387"/>
      <c r="U157" s="387"/>
      <c r="V157" s="387"/>
      <c r="W157" s="387"/>
      <c r="X157" s="387"/>
      <c r="Y157" s="387"/>
      <c r="Z157" s="387"/>
      <c r="AA157" s="387"/>
      <c r="AB157" s="387"/>
      <c r="AC157" s="387"/>
      <c r="AD157" s="387"/>
      <c r="AE157" s="387"/>
      <c r="AF157" s="387"/>
      <c r="AG157" s="387"/>
      <c r="AH157" s="387"/>
      <c r="AI157" s="387"/>
      <c r="AJ157" s="387"/>
      <c r="AK157" s="387"/>
      <c r="AL157" s="387"/>
      <c r="AM157" s="387"/>
      <c r="AN157" s="387"/>
      <c r="AO157" s="387"/>
      <c r="AP157" s="387"/>
      <c r="AQ157" s="387"/>
      <c r="AR157" s="387"/>
      <c r="AS157" s="387"/>
      <c r="AT157" s="387"/>
      <c r="AU157" s="387"/>
      <c r="AV157" s="387"/>
      <c r="AW157" s="387"/>
      <c r="AX157" s="387"/>
      <c r="AY157" s="387"/>
      <c r="AZ157" s="387"/>
    </row>
    <row r="158" spans="2:52" ht="12.75">
      <c r="B158" s="387"/>
      <c r="C158" s="387"/>
      <c r="D158" s="387"/>
      <c r="E158" s="387"/>
      <c r="F158" s="387"/>
      <c r="G158" s="387"/>
      <c r="H158" s="387"/>
      <c r="I158" s="387"/>
      <c r="J158" s="387"/>
      <c r="K158" s="387"/>
      <c r="L158" s="387"/>
      <c r="M158" s="387"/>
      <c r="N158" s="387"/>
      <c r="O158" s="387"/>
      <c r="P158" s="387"/>
      <c r="Q158" s="387"/>
      <c r="R158" s="387"/>
      <c r="S158" s="387"/>
      <c r="T158" s="387"/>
      <c r="U158" s="387"/>
      <c r="V158" s="387"/>
      <c r="W158" s="387"/>
      <c r="X158" s="387"/>
      <c r="Y158" s="387"/>
      <c r="Z158" s="387"/>
      <c r="AA158" s="387"/>
      <c r="AB158" s="387"/>
      <c r="AC158" s="387"/>
      <c r="AD158" s="387"/>
      <c r="AE158" s="387"/>
      <c r="AF158" s="387"/>
      <c r="AG158" s="387"/>
      <c r="AH158" s="387"/>
      <c r="AI158" s="387"/>
      <c r="AJ158" s="387"/>
      <c r="AK158" s="387"/>
      <c r="AL158" s="387"/>
      <c r="AM158" s="387"/>
      <c r="AN158" s="387"/>
      <c r="AO158" s="387"/>
      <c r="AP158" s="387"/>
      <c r="AQ158" s="387"/>
      <c r="AR158" s="387"/>
      <c r="AS158" s="387"/>
      <c r="AT158" s="387"/>
      <c r="AU158" s="387"/>
      <c r="AV158" s="387"/>
      <c r="AW158" s="387"/>
      <c r="AX158" s="387"/>
      <c r="AY158" s="387"/>
      <c r="AZ158" s="387"/>
    </row>
    <row r="159" spans="2:52" ht="12.75">
      <c r="B159" s="387"/>
      <c r="C159" s="387"/>
      <c r="D159" s="387"/>
      <c r="E159" s="387"/>
      <c r="F159" s="387"/>
      <c r="G159" s="387"/>
      <c r="H159" s="387"/>
      <c r="I159" s="387"/>
      <c r="J159" s="387"/>
      <c r="K159" s="387"/>
      <c r="L159" s="387"/>
      <c r="M159" s="387"/>
      <c r="N159" s="387"/>
      <c r="O159" s="387"/>
      <c r="P159" s="387"/>
      <c r="Q159" s="387"/>
      <c r="R159" s="387"/>
      <c r="S159" s="387"/>
      <c r="T159" s="387"/>
      <c r="U159" s="387"/>
      <c r="V159" s="387"/>
      <c r="W159" s="387"/>
      <c r="X159" s="387"/>
      <c r="Y159" s="387"/>
      <c r="Z159" s="387"/>
      <c r="AA159" s="387"/>
      <c r="AB159" s="387"/>
      <c r="AC159" s="387"/>
      <c r="AD159" s="387"/>
      <c r="AE159" s="387"/>
      <c r="AF159" s="387"/>
      <c r="AG159" s="387"/>
      <c r="AH159" s="387"/>
      <c r="AI159" s="387"/>
      <c r="AJ159" s="387"/>
      <c r="AK159" s="387"/>
      <c r="AL159" s="387"/>
      <c r="AM159" s="387"/>
      <c r="AN159" s="387"/>
      <c r="AO159" s="387"/>
      <c r="AP159" s="387"/>
      <c r="AQ159" s="387"/>
      <c r="AR159" s="387"/>
      <c r="AS159" s="387"/>
      <c r="AT159" s="387"/>
      <c r="AU159" s="387"/>
      <c r="AV159" s="387"/>
      <c r="AW159" s="387"/>
      <c r="AX159" s="387"/>
      <c r="AY159" s="387"/>
      <c r="AZ159" s="387"/>
    </row>
    <row r="160" spans="2:52" ht="12.75">
      <c r="B160" s="387"/>
      <c r="C160" s="387"/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7"/>
      <c r="S160" s="387"/>
      <c r="T160" s="387"/>
      <c r="U160" s="387"/>
      <c r="V160" s="387"/>
      <c r="W160" s="387"/>
      <c r="X160" s="387"/>
      <c r="Y160" s="387"/>
      <c r="Z160" s="387"/>
      <c r="AA160" s="387"/>
      <c r="AB160" s="387"/>
      <c r="AC160" s="387"/>
      <c r="AD160" s="387"/>
      <c r="AE160" s="387"/>
      <c r="AF160" s="387"/>
      <c r="AG160" s="387"/>
      <c r="AH160" s="387"/>
      <c r="AI160" s="387"/>
      <c r="AJ160" s="387"/>
      <c r="AK160" s="387"/>
      <c r="AL160" s="387"/>
      <c r="AM160" s="387"/>
      <c r="AN160" s="387"/>
      <c r="AO160" s="387"/>
      <c r="AP160" s="387"/>
      <c r="AQ160" s="387"/>
      <c r="AR160" s="387"/>
      <c r="AS160" s="387"/>
      <c r="AT160" s="387"/>
      <c r="AU160" s="387"/>
      <c r="AV160" s="387"/>
      <c r="AW160" s="387"/>
      <c r="AX160" s="387"/>
      <c r="AY160" s="387"/>
      <c r="AZ160" s="387"/>
    </row>
    <row r="161" spans="2:52" ht="12.75">
      <c r="B161" s="387"/>
      <c r="C161" s="387"/>
      <c r="D161" s="387"/>
      <c r="E161" s="387"/>
      <c r="F161" s="387"/>
      <c r="G161" s="387"/>
      <c r="H161" s="387"/>
      <c r="I161" s="387"/>
      <c r="J161" s="387"/>
      <c r="K161" s="387"/>
      <c r="L161" s="387"/>
      <c r="M161" s="387"/>
      <c r="N161" s="387"/>
      <c r="O161" s="387"/>
      <c r="P161" s="387"/>
      <c r="Q161" s="387"/>
      <c r="R161" s="387"/>
      <c r="S161" s="387"/>
      <c r="T161" s="387"/>
      <c r="U161" s="387"/>
      <c r="V161" s="387"/>
      <c r="W161" s="387"/>
      <c r="X161" s="387"/>
      <c r="Y161" s="387"/>
      <c r="Z161" s="387"/>
      <c r="AA161" s="387"/>
      <c r="AB161" s="387"/>
      <c r="AC161" s="387"/>
      <c r="AD161" s="387"/>
      <c r="AE161" s="387"/>
      <c r="AF161" s="387"/>
      <c r="AG161" s="387"/>
      <c r="AH161" s="387"/>
      <c r="AI161" s="387"/>
      <c r="AJ161" s="387"/>
      <c r="AK161" s="387"/>
      <c r="AL161" s="387"/>
      <c r="AM161" s="387"/>
      <c r="AN161" s="387"/>
      <c r="AO161" s="387"/>
      <c r="AP161" s="387"/>
      <c r="AQ161" s="387"/>
      <c r="AR161" s="387"/>
      <c r="AS161" s="387"/>
      <c r="AT161" s="387"/>
      <c r="AU161" s="387"/>
      <c r="AV161" s="387"/>
      <c r="AW161" s="387"/>
      <c r="AX161" s="387"/>
      <c r="AY161" s="387"/>
      <c r="AZ161" s="387"/>
    </row>
    <row r="162" spans="2:52" ht="12.75">
      <c r="B162" s="387"/>
      <c r="C162" s="387"/>
      <c r="D162" s="387"/>
      <c r="E162" s="387"/>
      <c r="F162" s="387"/>
      <c r="G162" s="387"/>
      <c r="H162" s="387"/>
      <c r="I162" s="387"/>
      <c r="J162" s="387"/>
      <c r="K162" s="387"/>
      <c r="L162" s="387"/>
      <c r="M162" s="387"/>
      <c r="N162" s="387"/>
      <c r="O162" s="387"/>
      <c r="P162" s="387"/>
      <c r="Q162" s="387"/>
      <c r="R162" s="387"/>
      <c r="S162" s="387"/>
      <c r="T162" s="387"/>
      <c r="U162" s="387"/>
      <c r="V162" s="387"/>
      <c r="W162" s="387"/>
      <c r="X162" s="387"/>
      <c r="Y162" s="387"/>
      <c r="Z162" s="387"/>
      <c r="AA162" s="387"/>
      <c r="AB162" s="387"/>
      <c r="AC162" s="387"/>
      <c r="AD162" s="387"/>
      <c r="AE162" s="387"/>
      <c r="AF162" s="387"/>
      <c r="AG162" s="387"/>
      <c r="AH162" s="387"/>
      <c r="AI162" s="387"/>
      <c r="AJ162" s="387"/>
      <c r="AK162" s="387"/>
      <c r="AL162" s="387"/>
      <c r="AM162" s="387"/>
      <c r="AN162" s="387"/>
      <c r="AO162" s="387"/>
      <c r="AP162" s="387"/>
      <c r="AQ162" s="387"/>
      <c r="AR162" s="387"/>
      <c r="AS162" s="387"/>
      <c r="AT162" s="387"/>
      <c r="AU162" s="387"/>
      <c r="AV162" s="387"/>
      <c r="AW162" s="387"/>
      <c r="AX162" s="387"/>
      <c r="AY162" s="387"/>
      <c r="AZ162" s="387"/>
    </row>
    <row r="163" spans="2:52" ht="12.75">
      <c r="B163" s="387"/>
      <c r="C163" s="387"/>
      <c r="D163" s="387"/>
      <c r="E163" s="387"/>
      <c r="F163" s="387"/>
      <c r="G163" s="387"/>
      <c r="H163" s="387"/>
      <c r="I163" s="387"/>
      <c r="J163" s="387"/>
      <c r="K163" s="387"/>
      <c r="L163" s="387"/>
      <c r="M163" s="387"/>
      <c r="N163" s="387"/>
      <c r="O163" s="387"/>
      <c r="P163" s="387"/>
      <c r="Q163" s="387"/>
      <c r="R163" s="387"/>
      <c r="S163" s="387"/>
      <c r="T163" s="387"/>
      <c r="U163" s="387"/>
      <c r="V163" s="387"/>
      <c r="W163" s="387"/>
      <c r="X163" s="387"/>
      <c r="Y163" s="387"/>
      <c r="Z163" s="387"/>
      <c r="AA163" s="387"/>
      <c r="AB163" s="387"/>
      <c r="AC163" s="387"/>
      <c r="AD163" s="387"/>
      <c r="AE163" s="387"/>
      <c r="AF163" s="387"/>
      <c r="AG163" s="387"/>
      <c r="AH163" s="387"/>
      <c r="AI163" s="387"/>
      <c r="AJ163" s="387"/>
      <c r="AK163" s="387"/>
      <c r="AL163" s="387"/>
      <c r="AM163" s="387"/>
      <c r="AN163" s="387"/>
      <c r="AO163" s="387"/>
      <c r="AP163" s="387"/>
      <c r="AQ163" s="387"/>
      <c r="AR163" s="387"/>
      <c r="AS163" s="387"/>
      <c r="AT163" s="387"/>
      <c r="AU163" s="387"/>
      <c r="AV163" s="387"/>
      <c r="AW163" s="387"/>
      <c r="AX163" s="387"/>
      <c r="AY163" s="387"/>
      <c r="AZ163" s="387"/>
    </row>
    <row r="164" spans="2:52" ht="12.75">
      <c r="B164" s="387"/>
      <c r="C164" s="387"/>
      <c r="D164" s="387"/>
      <c r="E164" s="387"/>
      <c r="F164" s="387"/>
      <c r="G164" s="387"/>
      <c r="H164" s="387"/>
      <c r="I164" s="387"/>
      <c r="J164" s="387"/>
      <c r="K164" s="387"/>
      <c r="L164" s="387"/>
      <c r="M164" s="387"/>
      <c r="N164" s="387"/>
      <c r="O164" s="387"/>
      <c r="P164" s="387"/>
      <c r="Q164" s="387"/>
      <c r="R164" s="387"/>
      <c r="S164" s="387"/>
      <c r="T164" s="387"/>
      <c r="U164" s="387"/>
      <c r="V164" s="387"/>
      <c r="W164" s="387"/>
      <c r="X164" s="387"/>
      <c r="Y164" s="387"/>
      <c r="Z164" s="387"/>
      <c r="AA164" s="387"/>
      <c r="AB164" s="387"/>
      <c r="AC164" s="387"/>
      <c r="AD164" s="387"/>
      <c r="AE164" s="387"/>
      <c r="AF164" s="387"/>
      <c r="AG164" s="387"/>
      <c r="AH164" s="387"/>
      <c r="AI164" s="387"/>
      <c r="AJ164" s="387"/>
      <c r="AK164" s="387"/>
      <c r="AL164" s="387"/>
      <c r="AM164" s="387"/>
      <c r="AN164" s="387"/>
      <c r="AO164" s="387"/>
      <c r="AP164" s="387"/>
      <c r="AQ164" s="387"/>
      <c r="AR164" s="387"/>
      <c r="AS164" s="387"/>
      <c r="AT164" s="387"/>
      <c r="AU164" s="387"/>
      <c r="AV164" s="387"/>
      <c r="AW164" s="387"/>
      <c r="AX164" s="387"/>
      <c r="AY164" s="387"/>
      <c r="AZ164" s="387"/>
    </row>
    <row r="165" spans="2:52" ht="12.75">
      <c r="B165" s="387"/>
      <c r="C165" s="387"/>
      <c r="D165" s="387"/>
      <c r="E165" s="387"/>
      <c r="F165" s="387"/>
      <c r="G165" s="387"/>
      <c r="H165" s="387"/>
      <c r="I165" s="387"/>
      <c r="J165" s="387"/>
      <c r="K165" s="387"/>
      <c r="L165" s="387"/>
      <c r="M165" s="387"/>
      <c r="N165" s="387"/>
      <c r="O165" s="387"/>
      <c r="P165" s="387"/>
      <c r="Q165" s="387"/>
      <c r="R165" s="387"/>
      <c r="S165" s="387"/>
      <c r="T165" s="387"/>
      <c r="U165" s="387"/>
      <c r="V165" s="387"/>
      <c r="W165" s="387"/>
      <c r="X165" s="387"/>
      <c r="Y165" s="387"/>
      <c r="Z165" s="387"/>
      <c r="AA165" s="387"/>
      <c r="AB165" s="387"/>
      <c r="AC165" s="387"/>
      <c r="AD165" s="387"/>
      <c r="AE165" s="387"/>
      <c r="AF165" s="387"/>
      <c r="AG165" s="387"/>
      <c r="AH165" s="387"/>
      <c r="AI165" s="387"/>
      <c r="AJ165" s="387"/>
      <c r="AK165" s="387"/>
      <c r="AL165" s="387"/>
      <c r="AM165" s="387"/>
      <c r="AN165" s="387"/>
      <c r="AO165" s="387"/>
      <c r="AP165" s="387"/>
      <c r="AQ165" s="387"/>
      <c r="AR165" s="387"/>
      <c r="AS165" s="387"/>
      <c r="AT165" s="387"/>
      <c r="AU165" s="387"/>
      <c r="AV165" s="387"/>
      <c r="AW165" s="387"/>
      <c r="AX165" s="387"/>
      <c r="AY165" s="387"/>
      <c r="AZ165" s="387"/>
    </row>
    <row r="166" spans="2:52" ht="12.75">
      <c r="B166" s="387"/>
      <c r="C166" s="387"/>
      <c r="D166" s="387"/>
      <c r="E166" s="387"/>
      <c r="F166" s="387"/>
      <c r="G166" s="387"/>
      <c r="H166" s="387"/>
      <c r="I166" s="387"/>
      <c r="J166" s="387"/>
      <c r="K166" s="387"/>
      <c r="L166" s="387"/>
      <c r="M166" s="387"/>
      <c r="N166" s="387"/>
      <c r="O166" s="387"/>
      <c r="P166" s="387"/>
      <c r="Q166" s="387"/>
      <c r="R166" s="387"/>
      <c r="S166" s="387"/>
      <c r="T166" s="387"/>
      <c r="U166" s="387"/>
      <c r="V166" s="387"/>
      <c r="W166" s="387"/>
      <c r="X166" s="387"/>
      <c r="Y166" s="387"/>
      <c r="Z166" s="387"/>
      <c r="AA166" s="387"/>
      <c r="AB166" s="387"/>
      <c r="AC166" s="387"/>
      <c r="AD166" s="387"/>
      <c r="AE166" s="387"/>
      <c r="AF166" s="387"/>
      <c r="AG166" s="387"/>
      <c r="AH166" s="387"/>
      <c r="AI166" s="387"/>
      <c r="AJ166" s="387"/>
      <c r="AK166" s="387"/>
      <c r="AL166" s="387"/>
      <c r="AM166" s="387"/>
      <c r="AN166" s="387"/>
      <c r="AO166" s="387"/>
      <c r="AP166" s="387"/>
      <c r="AQ166" s="387"/>
      <c r="AR166" s="387"/>
      <c r="AS166" s="387"/>
      <c r="AT166" s="387"/>
      <c r="AU166" s="387"/>
      <c r="AV166" s="387"/>
      <c r="AW166" s="387"/>
      <c r="AX166" s="387"/>
      <c r="AY166" s="387"/>
      <c r="AZ166" s="387"/>
    </row>
    <row r="167" spans="2:52" ht="12.75">
      <c r="B167" s="387"/>
      <c r="C167" s="387"/>
      <c r="D167" s="387"/>
      <c r="E167" s="387"/>
      <c r="F167" s="387"/>
      <c r="G167" s="387"/>
      <c r="H167" s="387"/>
      <c r="I167" s="387"/>
      <c r="J167" s="387"/>
      <c r="K167" s="387"/>
      <c r="L167" s="387"/>
      <c r="M167" s="387"/>
      <c r="N167" s="387"/>
      <c r="O167" s="387"/>
      <c r="P167" s="387"/>
      <c r="Q167" s="387"/>
      <c r="R167" s="387"/>
      <c r="S167" s="387"/>
      <c r="T167" s="387"/>
      <c r="U167" s="387"/>
      <c r="V167" s="387"/>
      <c r="W167" s="387"/>
      <c r="X167" s="387"/>
      <c r="Y167" s="387"/>
      <c r="Z167" s="387"/>
      <c r="AA167" s="387"/>
      <c r="AB167" s="387"/>
      <c r="AC167" s="387"/>
      <c r="AD167" s="387"/>
      <c r="AE167" s="387"/>
      <c r="AF167" s="387"/>
      <c r="AG167" s="387"/>
      <c r="AH167" s="387"/>
      <c r="AI167" s="387"/>
      <c r="AJ167" s="387"/>
      <c r="AK167" s="387"/>
      <c r="AL167" s="387"/>
      <c r="AM167" s="387"/>
      <c r="AN167" s="387"/>
      <c r="AO167" s="387"/>
      <c r="AP167" s="387"/>
      <c r="AQ167" s="387"/>
      <c r="AR167" s="387"/>
      <c r="AS167" s="387"/>
      <c r="AT167" s="387"/>
      <c r="AU167" s="387"/>
      <c r="AV167" s="387"/>
      <c r="AW167" s="387"/>
      <c r="AX167" s="387"/>
      <c r="AY167" s="387"/>
      <c r="AZ167" s="387"/>
    </row>
    <row r="168" spans="2:52" ht="12.75">
      <c r="B168" s="387"/>
      <c r="C168" s="387"/>
      <c r="D168" s="387"/>
      <c r="E168" s="387"/>
      <c r="F168" s="387"/>
      <c r="G168" s="387"/>
      <c r="H168" s="387"/>
      <c r="I168" s="387"/>
      <c r="J168" s="387"/>
      <c r="K168" s="387"/>
      <c r="L168" s="387"/>
      <c r="M168" s="387"/>
      <c r="N168" s="387"/>
      <c r="O168" s="387"/>
      <c r="P168" s="387"/>
      <c r="Q168" s="387"/>
      <c r="R168" s="387"/>
      <c r="S168" s="387"/>
      <c r="T168" s="387"/>
      <c r="U168" s="387"/>
      <c r="V168" s="387"/>
      <c r="W168" s="387"/>
      <c r="X168" s="387"/>
      <c r="Y168" s="387"/>
      <c r="Z168" s="387"/>
      <c r="AA168" s="387"/>
      <c r="AB168" s="387"/>
      <c r="AC168" s="387"/>
      <c r="AD168" s="387"/>
      <c r="AE168" s="387"/>
      <c r="AF168" s="387"/>
      <c r="AG168" s="387"/>
      <c r="AH168" s="387"/>
      <c r="AI168" s="387"/>
      <c r="AJ168" s="387"/>
      <c r="AK168" s="387"/>
      <c r="AL168" s="387"/>
      <c r="AM168" s="387"/>
      <c r="AN168" s="387"/>
      <c r="AO168" s="387"/>
      <c r="AP168" s="387"/>
      <c r="AQ168" s="387"/>
      <c r="AR168" s="387"/>
      <c r="AS168" s="387"/>
      <c r="AT168" s="387"/>
      <c r="AU168" s="387"/>
      <c r="AV168" s="387"/>
      <c r="AW168" s="387"/>
      <c r="AX168" s="387"/>
      <c r="AY168" s="387"/>
      <c r="AZ168" s="387"/>
    </row>
    <row r="169" spans="2:52" ht="12.75">
      <c r="B169" s="387"/>
      <c r="C169" s="387"/>
      <c r="D169" s="387"/>
      <c r="E169" s="387"/>
      <c r="F169" s="387"/>
      <c r="G169" s="387"/>
      <c r="H169" s="387"/>
      <c r="I169" s="387"/>
      <c r="J169" s="387"/>
      <c r="K169" s="387"/>
      <c r="L169" s="387"/>
      <c r="M169" s="387"/>
      <c r="N169" s="387"/>
      <c r="O169" s="387"/>
      <c r="P169" s="387"/>
      <c r="Q169" s="387"/>
      <c r="R169" s="387"/>
      <c r="S169" s="387"/>
      <c r="T169" s="387"/>
      <c r="U169" s="387"/>
      <c r="V169" s="387"/>
      <c r="W169" s="387"/>
      <c r="X169" s="387"/>
      <c r="Y169" s="387"/>
      <c r="Z169" s="387"/>
      <c r="AA169" s="387"/>
      <c r="AB169" s="387"/>
      <c r="AC169" s="387"/>
      <c r="AD169" s="387"/>
      <c r="AE169" s="387"/>
      <c r="AF169" s="387"/>
      <c r="AG169" s="387"/>
      <c r="AH169" s="387"/>
      <c r="AI169" s="387"/>
      <c r="AJ169" s="387"/>
      <c r="AK169" s="387"/>
      <c r="AL169" s="387"/>
      <c r="AM169" s="387"/>
      <c r="AN169" s="387"/>
      <c r="AO169" s="387"/>
      <c r="AP169" s="387"/>
      <c r="AQ169" s="387"/>
      <c r="AR169" s="387"/>
      <c r="AS169" s="387"/>
      <c r="AT169" s="387"/>
      <c r="AU169" s="387"/>
      <c r="AV169" s="387"/>
      <c r="AW169" s="387"/>
      <c r="AX169" s="387"/>
      <c r="AY169" s="387"/>
      <c r="AZ169" s="387"/>
    </row>
    <row r="170" spans="2:52" ht="12.75">
      <c r="B170" s="387"/>
      <c r="C170" s="387"/>
      <c r="D170" s="387"/>
      <c r="E170" s="387"/>
      <c r="F170" s="387"/>
      <c r="G170" s="387"/>
      <c r="H170" s="387"/>
      <c r="I170" s="387"/>
      <c r="J170" s="387"/>
      <c r="K170" s="387"/>
      <c r="L170" s="387"/>
      <c r="M170" s="387"/>
      <c r="N170" s="387"/>
      <c r="O170" s="387"/>
      <c r="P170" s="387"/>
      <c r="Q170" s="387"/>
      <c r="R170" s="387"/>
      <c r="S170" s="387"/>
      <c r="T170" s="387"/>
      <c r="U170" s="387"/>
      <c r="V170" s="387"/>
      <c r="W170" s="387"/>
      <c r="X170" s="387"/>
      <c r="Y170" s="387"/>
      <c r="Z170" s="387"/>
      <c r="AA170" s="387"/>
      <c r="AB170" s="387"/>
      <c r="AC170" s="387"/>
      <c r="AD170" s="387"/>
      <c r="AE170" s="387"/>
      <c r="AF170" s="387"/>
      <c r="AG170" s="387"/>
      <c r="AH170" s="387"/>
      <c r="AI170" s="387"/>
      <c r="AJ170" s="387"/>
      <c r="AK170" s="387"/>
      <c r="AL170" s="387"/>
      <c r="AM170" s="387"/>
      <c r="AN170" s="387"/>
      <c r="AO170" s="387"/>
      <c r="AP170" s="387"/>
      <c r="AQ170" s="387"/>
      <c r="AR170" s="387"/>
      <c r="AS170" s="387"/>
      <c r="AT170" s="387"/>
      <c r="AU170" s="387"/>
      <c r="AV170" s="387"/>
      <c r="AW170" s="387"/>
      <c r="AX170" s="387"/>
      <c r="AY170" s="387"/>
      <c r="AZ170" s="387"/>
    </row>
    <row r="171" spans="2:52" ht="12.75">
      <c r="B171" s="387"/>
      <c r="C171" s="387"/>
      <c r="D171" s="387"/>
      <c r="E171" s="387"/>
      <c r="F171" s="387"/>
      <c r="G171" s="387"/>
      <c r="H171" s="387"/>
      <c r="I171" s="387"/>
      <c r="J171" s="387"/>
      <c r="K171" s="387"/>
      <c r="L171" s="387"/>
      <c r="M171" s="387"/>
      <c r="N171" s="387"/>
      <c r="O171" s="387"/>
      <c r="P171" s="387"/>
      <c r="Q171" s="387"/>
      <c r="R171" s="387"/>
      <c r="S171" s="387"/>
      <c r="T171" s="387"/>
      <c r="U171" s="387"/>
      <c r="V171" s="387"/>
      <c r="W171" s="387"/>
      <c r="X171" s="387"/>
      <c r="Y171" s="387"/>
      <c r="Z171" s="387"/>
      <c r="AA171" s="387"/>
      <c r="AB171" s="387"/>
      <c r="AC171" s="387"/>
      <c r="AD171" s="387"/>
      <c r="AE171" s="387"/>
      <c r="AF171" s="387"/>
      <c r="AG171" s="387"/>
      <c r="AH171" s="387"/>
      <c r="AI171" s="387"/>
      <c r="AJ171" s="387"/>
      <c r="AK171" s="387"/>
      <c r="AL171" s="387"/>
      <c r="AM171" s="387"/>
      <c r="AN171" s="387"/>
      <c r="AO171" s="387"/>
      <c r="AP171" s="387"/>
      <c r="AQ171" s="387"/>
      <c r="AR171" s="387"/>
      <c r="AS171" s="387"/>
      <c r="AT171" s="387"/>
      <c r="AU171" s="387"/>
      <c r="AV171" s="387"/>
      <c r="AW171" s="387"/>
      <c r="AX171" s="387"/>
      <c r="AY171" s="387"/>
      <c r="AZ171" s="387"/>
    </row>
    <row r="172" spans="2:52" ht="12.75">
      <c r="B172" s="387"/>
      <c r="C172" s="387"/>
      <c r="D172" s="387"/>
      <c r="E172" s="387"/>
      <c r="F172" s="387"/>
      <c r="G172" s="387"/>
      <c r="H172" s="387"/>
      <c r="I172" s="387"/>
      <c r="J172" s="387"/>
      <c r="K172" s="387"/>
      <c r="L172" s="387"/>
      <c r="M172" s="387"/>
      <c r="N172" s="387"/>
      <c r="O172" s="387"/>
      <c r="P172" s="387"/>
      <c r="Q172" s="387"/>
      <c r="R172" s="387"/>
      <c r="S172" s="387"/>
      <c r="T172" s="387"/>
      <c r="U172" s="387"/>
      <c r="V172" s="387"/>
      <c r="W172" s="387"/>
      <c r="X172" s="387"/>
      <c r="Y172" s="387"/>
      <c r="Z172" s="387"/>
      <c r="AA172" s="387"/>
      <c r="AB172" s="387"/>
      <c r="AC172" s="387"/>
      <c r="AD172" s="387"/>
      <c r="AE172" s="387"/>
      <c r="AF172" s="387"/>
      <c r="AG172" s="387"/>
      <c r="AH172" s="387"/>
      <c r="AI172" s="387"/>
      <c r="AJ172" s="387"/>
      <c r="AK172" s="387"/>
      <c r="AL172" s="387"/>
      <c r="AM172" s="387"/>
      <c r="AN172" s="387"/>
      <c r="AO172" s="387"/>
      <c r="AP172" s="387"/>
      <c r="AQ172" s="387"/>
      <c r="AR172" s="387"/>
      <c r="AS172" s="387"/>
      <c r="AT172" s="387"/>
      <c r="AU172" s="387"/>
      <c r="AV172" s="387"/>
      <c r="AW172" s="387"/>
      <c r="AX172" s="387"/>
      <c r="AY172" s="387"/>
      <c r="AZ172" s="387"/>
    </row>
    <row r="173" spans="2:52" ht="12.75">
      <c r="B173" s="387"/>
      <c r="C173" s="387"/>
      <c r="D173" s="387"/>
      <c r="E173" s="387"/>
      <c r="F173" s="387"/>
      <c r="G173" s="387"/>
      <c r="H173" s="387"/>
      <c r="I173" s="387"/>
      <c r="J173" s="387"/>
      <c r="K173" s="387"/>
      <c r="L173" s="387"/>
      <c r="M173" s="387"/>
      <c r="N173" s="387"/>
      <c r="O173" s="387"/>
      <c r="P173" s="387"/>
      <c r="Q173" s="387"/>
      <c r="R173" s="387"/>
      <c r="S173" s="387"/>
      <c r="T173" s="387"/>
      <c r="U173" s="387"/>
      <c r="V173" s="387"/>
      <c r="W173" s="387"/>
      <c r="X173" s="387"/>
      <c r="Y173" s="387"/>
      <c r="Z173" s="387"/>
      <c r="AA173" s="387"/>
      <c r="AB173" s="387"/>
      <c r="AC173" s="387"/>
      <c r="AD173" s="387"/>
      <c r="AE173" s="387"/>
      <c r="AF173" s="387"/>
      <c r="AG173" s="387"/>
      <c r="AH173" s="387"/>
      <c r="AI173" s="387"/>
      <c r="AJ173" s="387"/>
      <c r="AK173" s="387"/>
      <c r="AL173" s="387"/>
      <c r="AM173" s="387"/>
      <c r="AN173" s="387"/>
      <c r="AO173" s="387"/>
      <c r="AP173" s="387"/>
      <c r="AQ173" s="387"/>
      <c r="AR173" s="387"/>
      <c r="AS173" s="387"/>
      <c r="AT173" s="387"/>
      <c r="AU173" s="387"/>
      <c r="AV173" s="387"/>
      <c r="AW173" s="387"/>
      <c r="AX173" s="387"/>
      <c r="AY173" s="387"/>
      <c r="AZ173" s="387"/>
    </row>
    <row r="174" spans="2:52" ht="12.75">
      <c r="B174" s="387"/>
      <c r="C174" s="387"/>
      <c r="D174" s="387"/>
      <c r="E174" s="387"/>
      <c r="F174" s="387"/>
      <c r="G174" s="387"/>
      <c r="H174" s="387"/>
      <c r="I174" s="387"/>
      <c r="J174" s="387"/>
      <c r="K174" s="387"/>
      <c r="L174" s="387"/>
      <c r="M174" s="387"/>
      <c r="N174" s="387"/>
      <c r="O174" s="387"/>
      <c r="P174" s="387"/>
      <c r="Q174" s="387"/>
      <c r="R174" s="387"/>
      <c r="S174" s="387"/>
      <c r="T174" s="387"/>
      <c r="U174" s="387"/>
      <c r="V174" s="387"/>
      <c r="W174" s="387"/>
      <c r="X174" s="387"/>
      <c r="Y174" s="387"/>
      <c r="Z174" s="387"/>
      <c r="AA174" s="387"/>
      <c r="AB174" s="387"/>
      <c r="AC174" s="387"/>
      <c r="AD174" s="387"/>
      <c r="AE174" s="387"/>
      <c r="AF174" s="387"/>
      <c r="AG174" s="387"/>
      <c r="AH174" s="387"/>
      <c r="AI174" s="387"/>
      <c r="AJ174" s="387"/>
      <c r="AK174" s="387"/>
      <c r="AL174" s="387"/>
      <c r="AM174" s="387"/>
      <c r="AN174" s="387"/>
      <c r="AO174" s="387"/>
      <c r="AP174" s="387"/>
      <c r="AQ174" s="387"/>
      <c r="AR174" s="387"/>
      <c r="AS174" s="387"/>
      <c r="AT174" s="387"/>
      <c r="AU174" s="387"/>
      <c r="AV174" s="387"/>
      <c r="AW174" s="387"/>
      <c r="AX174" s="387"/>
      <c r="AY174" s="387"/>
      <c r="AZ174" s="387"/>
    </row>
    <row r="175" spans="2:52" ht="12.75">
      <c r="B175" s="387"/>
      <c r="C175" s="387"/>
      <c r="D175" s="387"/>
      <c r="E175" s="387"/>
      <c r="F175" s="387"/>
      <c r="G175" s="387"/>
      <c r="H175" s="387"/>
      <c r="I175" s="387"/>
      <c r="J175" s="387"/>
      <c r="K175" s="387"/>
      <c r="L175" s="387"/>
      <c r="M175" s="387"/>
      <c r="N175" s="387"/>
      <c r="O175" s="387"/>
      <c r="P175" s="387"/>
      <c r="Q175" s="387"/>
      <c r="R175" s="387"/>
      <c r="S175" s="387"/>
      <c r="T175" s="387"/>
      <c r="U175" s="387"/>
      <c r="V175" s="387"/>
      <c r="W175" s="387"/>
      <c r="X175" s="387"/>
      <c r="Y175" s="387"/>
      <c r="Z175" s="387"/>
      <c r="AA175" s="387"/>
      <c r="AB175" s="387"/>
      <c r="AC175" s="387"/>
      <c r="AD175" s="387"/>
      <c r="AE175" s="387"/>
      <c r="AF175" s="387"/>
      <c r="AG175" s="387"/>
      <c r="AH175" s="387"/>
      <c r="AI175" s="387"/>
      <c r="AJ175" s="387"/>
      <c r="AK175" s="387"/>
      <c r="AL175" s="387"/>
      <c r="AM175" s="387"/>
      <c r="AN175" s="387"/>
      <c r="AO175" s="387"/>
      <c r="AP175" s="387"/>
      <c r="AQ175" s="387"/>
      <c r="AR175" s="387"/>
      <c r="AS175" s="387"/>
      <c r="AT175" s="387"/>
      <c r="AU175" s="387"/>
      <c r="AV175" s="387"/>
      <c r="AW175" s="387"/>
      <c r="AX175" s="387"/>
      <c r="AY175" s="387"/>
      <c r="AZ175" s="387"/>
    </row>
    <row r="176" spans="2:52" ht="12.75">
      <c r="B176" s="387"/>
      <c r="C176" s="387"/>
      <c r="D176" s="387"/>
      <c r="E176" s="387"/>
      <c r="F176" s="387"/>
      <c r="G176" s="387"/>
      <c r="H176" s="387"/>
      <c r="I176" s="387"/>
      <c r="J176" s="387"/>
      <c r="K176" s="387"/>
      <c r="L176" s="387"/>
      <c r="M176" s="387"/>
      <c r="N176" s="387"/>
      <c r="O176" s="387"/>
      <c r="P176" s="387"/>
      <c r="Q176" s="387"/>
      <c r="R176" s="387"/>
      <c r="S176" s="387"/>
      <c r="T176" s="387"/>
      <c r="U176" s="387"/>
      <c r="V176" s="387"/>
      <c r="W176" s="387"/>
      <c r="X176" s="387"/>
      <c r="Y176" s="387"/>
      <c r="Z176" s="387"/>
      <c r="AA176" s="387"/>
      <c r="AB176" s="387"/>
      <c r="AC176" s="387"/>
      <c r="AD176" s="387"/>
      <c r="AE176" s="387"/>
      <c r="AF176" s="387"/>
      <c r="AG176" s="387"/>
      <c r="AH176" s="387"/>
      <c r="AI176" s="387"/>
      <c r="AJ176" s="387"/>
      <c r="AK176" s="387"/>
      <c r="AL176" s="387"/>
      <c r="AM176" s="387"/>
      <c r="AN176" s="387"/>
      <c r="AO176" s="387"/>
      <c r="AP176" s="387"/>
      <c r="AQ176" s="387"/>
      <c r="AR176" s="387"/>
      <c r="AS176" s="387"/>
      <c r="AT176" s="387"/>
      <c r="AU176" s="387"/>
      <c r="AV176" s="387"/>
      <c r="AW176" s="387"/>
      <c r="AX176" s="387"/>
      <c r="AY176" s="387"/>
      <c r="AZ176" s="387"/>
    </row>
    <row r="177" spans="2:52" ht="12.75">
      <c r="B177" s="387"/>
      <c r="C177" s="387"/>
      <c r="D177" s="387"/>
      <c r="E177" s="387"/>
      <c r="F177" s="387"/>
      <c r="G177" s="387"/>
      <c r="H177" s="387"/>
      <c r="I177" s="387"/>
      <c r="J177" s="387"/>
      <c r="K177" s="387"/>
      <c r="L177" s="387"/>
      <c r="M177" s="387"/>
      <c r="N177" s="387"/>
      <c r="O177" s="387"/>
      <c r="P177" s="387"/>
      <c r="Q177" s="387"/>
      <c r="R177" s="387"/>
      <c r="S177" s="387"/>
      <c r="T177" s="387"/>
      <c r="U177" s="387"/>
      <c r="V177" s="387"/>
      <c r="W177" s="387"/>
      <c r="X177" s="387"/>
      <c r="Y177" s="387"/>
      <c r="Z177" s="387"/>
      <c r="AA177" s="387"/>
      <c r="AB177" s="387"/>
      <c r="AC177" s="387"/>
      <c r="AD177" s="387"/>
      <c r="AE177" s="387"/>
      <c r="AF177" s="387"/>
      <c r="AG177" s="387"/>
      <c r="AH177" s="387"/>
      <c r="AI177" s="387"/>
      <c r="AJ177" s="387"/>
      <c r="AK177" s="387"/>
      <c r="AL177" s="387"/>
      <c r="AM177" s="387"/>
      <c r="AN177" s="387"/>
      <c r="AO177" s="387"/>
      <c r="AP177" s="387"/>
      <c r="AQ177" s="387"/>
      <c r="AR177" s="387"/>
      <c r="AS177" s="387"/>
      <c r="AT177" s="387"/>
      <c r="AU177" s="387"/>
      <c r="AV177" s="387"/>
      <c r="AW177" s="387"/>
      <c r="AX177" s="387"/>
      <c r="AY177" s="387"/>
      <c r="AZ177" s="387"/>
    </row>
    <row r="178" spans="2:52" ht="12.75">
      <c r="B178" s="387"/>
      <c r="C178" s="387"/>
      <c r="D178" s="387"/>
      <c r="E178" s="387"/>
      <c r="F178" s="387"/>
      <c r="G178" s="387"/>
      <c r="H178" s="387"/>
      <c r="I178" s="387"/>
      <c r="J178" s="387"/>
      <c r="K178" s="387"/>
      <c r="L178" s="387"/>
      <c r="M178" s="387"/>
      <c r="N178" s="387"/>
      <c r="O178" s="387"/>
      <c r="P178" s="387"/>
      <c r="Q178" s="387"/>
      <c r="R178" s="387"/>
      <c r="S178" s="387"/>
      <c r="T178" s="387"/>
      <c r="U178" s="387"/>
      <c r="V178" s="387"/>
      <c r="W178" s="387"/>
      <c r="X178" s="387"/>
      <c r="Y178" s="387"/>
      <c r="Z178" s="387"/>
      <c r="AA178" s="387"/>
      <c r="AB178" s="387"/>
      <c r="AC178" s="387"/>
      <c r="AD178" s="387"/>
      <c r="AE178" s="387"/>
      <c r="AF178" s="387"/>
      <c r="AG178" s="387"/>
      <c r="AH178" s="387"/>
      <c r="AI178" s="387"/>
      <c r="AJ178" s="387"/>
      <c r="AK178" s="387"/>
      <c r="AL178" s="387"/>
      <c r="AM178" s="387"/>
      <c r="AN178" s="387"/>
      <c r="AO178" s="387"/>
      <c r="AP178" s="387"/>
      <c r="AQ178" s="387"/>
      <c r="AR178" s="387"/>
      <c r="AS178" s="387"/>
      <c r="AT178" s="387"/>
      <c r="AU178" s="387"/>
      <c r="AV178" s="387"/>
      <c r="AW178" s="387"/>
      <c r="AX178" s="387"/>
      <c r="AY178" s="387"/>
      <c r="AZ178" s="387"/>
    </row>
    <row r="179" spans="2:52" ht="12.75">
      <c r="B179" s="387"/>
      <c r="C179" s="387"/>
      <c r="D179" s="387"/>
      <c r="E179" s="387"/>
      <c r="F179" s="387"/>
      <c r="G179" s="387"/>
      <c r="H179" s="387"/>
      <c r="I179" s="387"/>
      <c r="J179" s="387"/>
      <c r="K179" s="387"/>
      <c r="L179" s="387"/>
      <c r="M179" s="387"/>
      <c r="N179" s="387"/>
      <c r="O179" s="387"/>
      <c r="P179" s="387"/>
      <c r="Q179" s="387"/>
      <c r="R179" s="387"/>
      <c r="S179" s="387"/>
      <c r="T179" s="387"/>
      <c r="U179" s="387"/>
      <c r="V179" s="387"/>
      <c r="W179" s="387"/>
      <c r="X179" s="387"/>
      <c r="Y179" s="387"/>
      <c r="Z179" s="387"/>
      <c r="AA179" s="387"/>
      <c r="AB179" s="387"/>
      <c r="AC179" s="387"/>
      <c r="AD179" s="387"/>
      <c r="AE179" s="387"/>
      <c r="AF179" s="387"/>
      <c r="AG179" s="387"/>
      <c r="AH179" s="387"/>
      <c r="AI179" s="387"/>
      <c r="AJ179" s="387"/>
      <c r="AK179" s="387"/>
      <c r="AL179" s="387"/>
      <c r="AM179" s="387"/>
      <c r="AN179" s="387"/>
      <c r="AO179" s="387"/>
      <c r="AP179" s="387"/>
      <c r="AQ179" s="387"/>
      <c r="AR179" s="387"/>
      <c r="AS179" s="387"/>
      <c r="AT179" s="387"/>
      <c r="AU179" s="387"/>
      <c r="AV179" s="387"/>
      <c r="AW179" s="387"/>
      <c r="AX179" s="387"/>
      <c r="AY179" s="387"/>
      <c r="AZ179" s="387"/>
    </row>
    <row r="180" spans="2:52" ht="12.75">
      <c r="B180" s="387"/>
      <c r="C180" s="387"/>
      <c r="D180" s="387"/>
      <c r="E180" s="387"/>
      <c r="F180" s="387"/>
      <c r="G180" s="387"/>
      <c r="H180" s="387"/>
      <c r="I180" s="387"/>
      <c r="J180" s="387"/>
      <c r="K180" s="387"/>
      <c r="L180" s="387"/>
      <c r="M180" s="387"/>
      <c r="N180" s="387"/>
      <c r="O180" s="387"/>
      <c r="P180" s="387"/>
      <c r="Q180" s="387"/>
      <c r="R180" s="387"/>
      <c r="S180" s="387"/>
      <c r="T180" s="387"/>
      <c r="U180" s="387"/>
      <c r="V180" s="387"/>
      <c r="W180" s="387"/>
      <c r="X180" s="387"/>
      <c r="Y180" s="387"/>
      <c r="Z180" s="387"/>
      <c r="AA180" s="387"/>
      <c r="AB180" s="387"/>
      <c r="AC180" s="387"/>
      <c r="AD180" s="387"/>
      <c r="AE180" s="387"/>
      <c r="AF180" s="387"/>
      <c r="AG180" s="387"/>
      <c r="AH180" s="387"/>
      <c r="AI180" s="387"/>
      <c r="AJ180" s="387"/>
      <c r="AK180" s="387"/>
      <c r="AL180" s="387"/>
      <c r="AM180" s="387"/>
      <c r="AN180" s="387"/>
      <c r="AO180" s="387"/>
      <c r="AP180" s="387"/>
      <c r="AQ180" s="387"/>
      <c r="AR180" s="387"/>
      <c r="AS180" s="387"/>
      <c r="AT180" s="387"/>
      <c r="AU180" s="387"/>
      <c r="AV180" s="387"/>
      <c r="AW180" s="387"/>
      <c r="AX180" s="387"/>
      <c r="AY180" s="387"/>
      <c r="AZ180" s="387"/>
    </row>
    <row r="181" spans="2:52" ht="12.75">
      <c r="B181" s="387"/>
      <c r="C181" s="387"/>
      <c r="D181" s="387"/>
      <c r="E181" s="387"/>
      <c r="F181" s="387"/>
      <c r="G181" s="387"/>
      <c r="H181" s="387"/>
      <c r="I181" s="387"/>
      <c r="J181" s="387"/>
      <c r="K181" s="387"/>
      <c r="L181" s="387"/>
      <c r="M181" s="387"/>
      <c r="N181" s="387"/>
      <c r="O181" s="387"/>
      <c r="P181" s="387"/>
      <c r="Q181" s="387"/>
      <c r="R181" s="387"/>
      <c r="S181" s="387"/>
      <c r="T181" s="387"/>
      <c r="U181" s="387"/>
      <c r="V181" s="387"/>
      <c r="W181" s="387"/>
      <c r="X181" s="387"/>
      <c r="Y181" s="387"/>
      <c r="Z181" s="387"/>
      <c r="AA181" s="387"/>
      <c r="AB181" s="387"/>
      <c r="AC181" s="387"/>
      <c r="AD181" s="387"/>
      <c r="AE181" s="387"/>
      <c r="AF181" s="387"/>
      <c r="AG181" s="387"/>
      <c r="AH181" s="387"/>
      <c r="AI181" s="387"/>
      <c r="AJ181" s="387"/>
      <c r="AK181" s="387"/>
      <c r="AL181" s="387"/>
      <c r="AM181" s="387"/>
      <c r="AN181" s="387"/>
      <c r="AO181" s="387"/>
      <c r="AP181" s="387"/>
      <c r="AQ181" s="387"/>
      <c r="AR181" s="387"/>
      <c r="AS181" s="387"/>
      <c r="AT181" s="387"/>
      <c r="AU181" s="387"/>
      <c r="AV181" s="387"/>
      <c r="AW181" s="387"/>
      <c r="AX181" s="387"/>
      <c r="AY181" s="387"/>
      <c r="AZ181" s="387"/>
    </row>
    <row r="182" spans="2:52" ht="12.75">
      <c r="B182" s="387"/>
      <c r="C182" s="387"/>
      <c r="D182" s="387"/>
      <c r="E182" s="387"/>
      <c r="F182" s="387"/>
      <c r="G182" s="387"/>
      <c r="H182" s="387"/>
      <c r="I182" s="387"/>
      <c r="J182" s="387"/>
      <c r="K182" s="387"/>
      <c r="L182" s="387"/>
      <c r="M182" s="387"/>
      <c r="N182" s="387"/>
      <c r="O182" s="387"/>
      <c r="P182" s="387"/>
      <c r="Q182" s="387"/>
      <c r="R182" s="387"/>
      <c r="S182" s="387"/>
      <c r="T182" s="387"/>
      <c r="U182" s="387"/>
      <c r="V182" s="387"/>
      <c r="W182" s="387"/>
      <c r="X182" s="387"/>
      <c r="Y182" s="387"/>
      <c r="Z182" s="387"/>
      <c r="AA182" s="387"/>
      <c r="AB182" s="387"/>
      <c r="AC182" s="387"/>
      <c r="AD182" s="387"/>
      <c r="AE182" s="387"/>
      <c r="AF182" s="387"/>
      <c r="AG182" s="387"/>
      <c r="AH182" s="387"/>
      <c r="AI182" s="387"/>
      <c r="AJ182" s="387"/>
      <c r="AK182" s="387"/>
      <c r="AL182" s="387"/>
      <c r="AM182" s="387"/>
      <c r="AN182" s="387"/>
      <c r="AO182" s="387"/>
      <c r="AP182" s="387"/>
      <c r="AQ182" s="387"/>
      <c r="AR182" s="387"/>
      <c r="AS182" s="387"/>
      <c r="AT182" s="387"/>
      <c r="AU182" s="387"/>
      <c r="AV182" s="387"/>
      <c r="AW182" s="387"/>
      <c r="AX182" s="387"/>
      <c r="AY182" s="387"/>
      <c r="AZ182" s="387"/>
    </row>
    <row r="183" spans="2:52" ht="12.75">
      <c r="B183" s="387"/>
      <c r="C183" s="387"/>
      <c r="D183" s="387"/>
      <c r="E183" s="387"/>
      <c r="F183" s="387"/>
      <c r="G183" s="387"/>
      <c r="H183" s="387"/>
      <c r="I183" s="387"/>
      <c r="J183" s="387"/>
      <c r="K183" s="387"/>
      <c r="L183" s="387"/>
      <c r="M183" s="387"/>
      <c r="N183" s="387"/>
      <c r="O183" s="387"/>
      <c r="P183" s="387"/>
      <c r="Q183" s="387"/>
      <c r="R183" s="387"/>
      <c r="S183" s="387"/>
      <c r="T183" s="387"/>
      <c r="U183" s="387"/>
      <c r="V183" s="387"/>
      <c r="W183" s="387"/>
      <c r="X183" s="387"/>
      <c r="Y183" s="387"/>
      <c r="Z183" s="387"/>
      <c r="AA183" s="387"/>
      <c r="AB183" s="387"/>
      <c r="AC183" s="387"/>
      <c r="AD183" s="387"/>
      <c r="AE183" s="387"/>
      <c r="AF183" s="387"/>
      <c r="AG183" s="387"/>
      <c r="AH183" s="387"/>
      <c r="AI183" s="387"/>
      <c r="AJ183" s="387"/>
      <c r="AK183" s="387"/>
      <c r="AL183" s="387"/>
      <c r="AM183" s="387"/>
      <c r="AN183" s="387"/>
      <c r="AO183" s="387"/>
      <c r="AP183" s="387"/>
      <c r="AQ183" s="387"/>
      <c r="AR183" s="387"/>
      <c r="AS183" s="387"/>
      <c r="AT183" s="387"/>
      <c r="AU183" s="387"/>
      <c r="AV183" s="387"/>
      <c r="AW183" s="387"/>
      <c r="AX183" s="387"/>
      <c r="AY183" s="387"/>
      <c r="AZ183" s="387"/>
    </row>
    <row r="184" spans="2:52" ht="12.75">
      <c r="B184" s="387"/>
      <c r="C184" s="387"/>
      <c r="D184" s="387"/>
      <c r="E184" s="387"/>
      <c r="F184" s="387"/>
      <c r="G184" s="387"/>
      <c r="H184" s="387"/>
      <c r="I184" s="387"/>
      <c r="J184" s="387"/>
      <c r="K184" s="387"/>
      <c r="L184" s="387"/>
      <c r="M184" s="387"/>
      <c r="N184" s="387"/>
      <c r="O184" s="387"/>
      <c r="P184" s="387"/>
      <c r="Q184" s="387"/>
      <c r="R184" s="387"/>
      <c r="S184" s="387"/>
      <c r="T184" s="387"/>
      <c r="U184" s="387"/>
      <c r="V184" s="387"/>
      <c r="W184" s="387"/>
      <c r="X184" s="387"/>
      <c r="Y184" s="387"/>
      <c r="Z184" s="387"/>
      <c r="AA184" s="387"/>
      <c r="AB184" s="387"/>
      <c r="AC184" s="387"/>
      <c r="AD184" s="387"/>
      <c r="AE184" s="387"/>
      <c r="AF184" s="387"/>
      <c r="AG184" s="387"/>
      <c r="AH184" s="387"/>
      <c r="AI184" s="387"/>
      <c r="AJ184" s="387"/>
      <c r="AK184" s="387"/>
      <c r="AL184" s="387"/>
      <c r="AM184" s="387"/>
      <c r="AN184" s="387"/>
      <c r="AO184" s="387"/>
      <c r="AP184" s="387"/>
      <c r="AQ184" s="387"/>
      <c r="AR184" s="387"/>
      <c r="AS184" s="387"/>
      <c r="AT184" s="387"/>
      <c r="AU184" s="387"/>
      <c r="AV184" s="387"/>
      <c r="AW184" s="387"/>
      <c r="AX184" s="387"/>
      <c r="AY184" s="387"/>
      <c r="AZ184" s="387"/>
    </row>
    <row r="185" spans="2:52" ht="12.75">
      <c r="B185" s="387"/>
      <c r="C185" s="387"/>
      <c r="D185" s="387"/>
      <c r="E185" s="387"/>
      <c r="F185" s="387"/>
      <c r="G185" s="387"/>
      <c r="H185" s="387"/>
      <c r="I185" s="387"/>
      <c r="J185" s="387"/>
      <c r="K185" s="387"/>
      <c r="L185" s="387"/>
      <c r="M185" s="387"/>
      <c r="N185" s="387"/>
      <c r="O185" s="387"/>
      <c r="P185" s="387"/>
      <c r="Q185" s="387"/>
      <c r="R185" s="387"/>
      <c r="S185" s="387"/>
      <c r="T185" s="387"/>
      <c r="U185" s="387"/>
      <c r="V185" s="387"/>
      <c r="W185" s="387"/>
      <c r="X185" s="387"/>
      <c r="Y185" s="387"/>
      <c r="Z185" s="387"/>
      <c r="AA185" s="387"/>
      <c r="AB185" s="387"/>
      <c r="AC185" s="387"/>
      <c r="AD185" s="387"/>
      <c r="AE185" s="387"/>
      <c r="AF185" s="387"/>
      <c r="AG185" s="387"/>
      <c r="AH185" s="387"/>
      <c r="AI185" s="387"/>
      <c r="AJ185" s="387"/>
      <c r="AK185" s="387"/>
      <c r="AL185" s="387"/>
      <c r="AM185" s="387"/>
      <c r="AN185" s="387"/>
      <c r="AO185" s="387"/>
      <c r="AP185" s="387"/>
      <c r="AQ185" s="387"/>
      <c r="AR185" s="387"/>
      <c r="AS185" s="387"/>
      <c r="AT185" s="387"/>
      <c r="AU185" s="387"/>
      <c r="AV185" s="387"/>
      <c r="AW185" s="387"/>
      <c r="AX185" s="387"/>
      <c r="AY185" s="387"/>
      <c r="AZ185" s="387"/>
    </row>
    <row r="186" spans="2:52" ht="12.75">
      <c r="B186" s="387"/>
      <c r="C186" s="387"/>
      <c r="D186" s="387"/>
      <c r="E186" s="387"/>
      <c r="F186" s="387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87"/>
      <c r="R186" s="387"/>
      <c r="S186" s="387"/>
      <c r="T186" s="387"/>
      <c r="U186" s="387"/>
      <c r="V186" s="387"/>
      <c r="W186" s="387"/>
      <c r="X186" s="387"/>
      <c r="Y186" s="387"/>
      <c r="Z186" s="387"/>
      <c r="AA186" s="387"/>
      <c r="AB186" s="387"/>
      <c r="AC186" s="387"/>
      <c r="AD186" s="387"/>
      <c r="AE186" s="387"/>
      <c r="AF186" s="387"/>
      <c r="AG186" s="387"/>
      <c r="AH186" s="387"/>
      <c r="AI186" s="387"/>
      <c r="AJ186" s="387"/>
      <c r="AK186" s="387"/>
      <c r="AL186" s="387"/>
      <c r="AM186" s="387"/>
      <c r="AN186" s="387"/>
      <c r="AO186" s="387"/>
      <c r="AP186" s="387"/>
      <c r="AQ186" s="387"/>
      <c r="AR186" s="387"/>
      <c r="AS186" s="387"/>
      <c r="AT186" s="387"/>
      <c r="AU186" s="387"/>
      <c r="AV186" s="387"/>
      <c r="AW186" s="387"/>
      <c r="AX186" s="387"/>
      <c r="AY186" s="387"/>
      <c r="AZ186" s="387"/>
    </row>
    <row r="187" spans="2:52" ht="12.75">
      <c r="B187" s="387"/>
      <c r="C187" s="387"/>
      <c r="D187" s="387"/>
      <c r="E187" s="387"/>
      <c r="F187" s="387"/>
      <c r="G187" s="387"/>
      <c r="H187" s="387"/>
      <c r="I187" s="387"/>
      <c r="J187" s="387"/>
      <c r="K187" s="387"/>
      <c r="L187" s="387"/>
      <c r="M187" s="387"/>
      <c r="N187" s="387"/>
      <c r="O187" s="387"/>
      <c r="P187" s="387"/>
      <c r="Q187" s="387"/>
      <c r="R187" s="387"/>
      <c r="S187" s="387"/>
      <c r="T187" s="387"/>
      <c r="U187" s="387"/>
      <c r="V187" s="387"/>
      <c r="W187" s="387"/>
      <c r="X187" s="387"/>
      <c r="Y187" s="387"/>
      <c r="Z187" s="387"/>
      <c r="AA187" s="387"/>
      <c r="AB187" s="387"/>
      <c r="AC187" s="387"/>
      <c r="AD187" s="387"/>
      <c r="AE187" s="387"/>
      <c r="AF187" s="387"/>
      <c r="AG187" s="387"/>
      <c r="AH187" s="387"/>
      <c r="AI187" s="387"/>
      <c r="AJ187" s="387"/>
      <c r="AK187" s="387"/>
      <c r="AL187" s="387"/>
      <c r="AM187" s="387"/>
      <c r="AN187" s="387"/>
      <c r="AO187" s="387"/>
      <c r="AP187" s="387"/>
      <c r="AQ187" s="387"/>
      <c r="AR187" s="387"/>
      <c r="AS187" s="387"/>
      <c r="AT187" s="387"/>
      <c r="AU187" s="387"/>
      <c r="AV187" s="387"/>
      <c r="AW187" s="387"/>
      <c r="AX187" s="387"/>
      <c r="AY187" s="387"/>
      <c r="AZ187" s="387"/>
    </row>
    <row r="188" spans="2:52" ht="12.75">
      <c r="B188" s="387"/>
      <c r="C188" s="387"/>
      <c r="D188" s="387"/>
      <c r="E188" s="387"/>
      <c r="F188" s="387"/>
      <c r="G188" s="387"/>
      <c r="H188" s="387"/>
      <c r="I188" s="387"/>
      <c r="J188" s="387"/>
      <c r="K188" s="387"/>
      <c r="L188" s="387"/>
      <c r="M188" s="387"/>
      <c r="N188" s="387"/>
      <c r="O188" s="387"/>
      <c r="P188" s="387"/>
      <c r="Q188" s="387"/>
      <c r="R188" s="387"/>
      <c r="S188" s="387"/>
      <c r="T188" s="387"/>
      <c r="U188" s="387"/>
      <c r="V188" s="387"/>
      <c r="W188" s="387"/>
      <c r="X188" s="387"/>
      <c r="Y188" s="387"/>
      <c r="Z188" s="387"/>
      <c r="AA188" s="387"/>
      <c r="AB188" s="387"/>
      <c r="AC188" s="387"/>
      <c r="AD188" s="387"/>
      <c r="AE188" s="387"/>
      <c r="AF188" s="387"/>
      <c r="AG188" s="387"/>
      <c r="AH188" s="387"/>
      <c r="AI188" s="387"/>
      <c r="AJ188" s="387"/>
      <c r="AK188" s="387"/>
      <c r="AL188" s="387"/>
      <c r="AM188" s="387"/>
      <c r="AN188" s="387"/>
      <c r="AO188" s="387"/>
      <c r="AP188" s="387"/>
      <c r="AQ188" s="387"/>
      <c r="AR188" s="387"/>
      <c r="AS188" s="387"/>
      <c r="AT188" s="387"/>
      <c r="AU188" s="387"/>
      <c r="AV188" s="387"/>
      <c r="AW188" s="387"/>
      <c r="AX188" s="387"/>
      <c r="AY188" s="387"/>
      <c r="AZ188" s="387"/>
    </row>
    <row r="189" spans="2:52" ht="12.75">
      <c r="B189" s="387"/>
      <c r="C189" s="387"/>
      <c r="D189" s="387"/>
      <c r="E189" s="387"/>
      <c r="F189" s="387"/>
      <c r="G189" s="387"/>
      <c r="H189" s="387"/>
      <c r="I189" s="387"/>
      <c r="J189" s="387"/>
      <c r="K189" s="387"/>
      <c r="L189" s="387"/>
      <c r="M189" s="387"/>
      <c r="N189" s="387"/>
      <c r="O189" s="387"/>
      <c r="P189" s="387"/>
      <c r="Q189" s="387"/>
      <c r="R189" s="387"/>
      <c r="S189" s="387"/>
      <c r="T189" s="387"/>
      <c r="U189" s="387"/>
      <c r="V189" s="387"/>
      <c r="W189" s="387"/>
      <c r="X189" s="387"/>
      <c r="Y189" s="387"/>
      <c r="Z189" s="387"/>
      <c r="AA189" s="387"/>
      <c r="AB189" s="387"/>
      <c r="AC189" s="387"/>
      <c r="AD189" s="387"/>
      <c r="AE189" s="387"/>
      <c r="AF189" s="387"/>
      <c r="AG189" s="387"/>
      <c r="AH189" s="387"/>
      <c r="AI189" s="387"/>
      <c r="AJ189" s="387"/>
      <c r="AK189" s="387"/>
      <c r="AL189" s="387"/>
      <c r="AM189" s="387"/>
      <c r="AN189" s="387"/>
      <c r="AO189" s="387"/>
      <c r="AP189" s="387"/>
      <c r="AQ189" s="387"/>
      <c r="AR189" s="387"/>
      <c r="AS189" s="387"/>
      <c r="AT189" s="387"/>
      <c r="AU189" s="387"/>
      <c r="AV189" s="387"/>
      <c r="AW189" s="387"/>
      <c r="AX189" s="387"/>
      <c r="AY189" s="387"/>
      <c r="AZ189" s="387"/>
    </row>
    <row r="190" spans="2:52" ht="12.75">
      <c r="B190" s="387"/>
      <c r="C190" s="387"/>
      <c r="D190" s="387"/>
      <c r="E190" s="387"/>
      <c r="F190" s="387"/>
      <c r="G190" s="387"/>
      <c r="H190" s="387"/>
      <c r="I190" s="387"/>
      <c r="J190" s="387"/>
      <c r="K190" s="387"/>
      <c r="L190" s="387"/>
      <c r="M190" s="387"/>
      <c r="N190" s="387"/>
      <c r="O190" s="387"/>
      <c r="P190" s="387"/>
      <c r="Q190" s="387"/>
      <c r="R190" s="387"/>
      <c r="S190" s="387"/>
      <c r="T190" s="387"/>
      <c r="U190" s="387"/>
      <c r="V190" s="387"/>
      <c r="W190" s="387"/>
      <c r="X190" s="387"/>
      <c r="Y190" s="387"/>
      <c r="Z190" s="387"/>
      <c r="AA190" s="387"/>
      <c r="AB190" s="387"/>
      <c r="AC190" s="387"/>
      <c r="AD190" s="387"/>
      <c r="AE190" s="387"/>
      <c r="AF190" s="387"/>
      <c r="AG190" s="387"/>
      <c r="AH190" s="387"/>
      <c r="AI190" s="387"/>
      <c r="AJ190" s="387"/>
      <c r="AK190" s="387"/>
      <c r="AL190" s="387"/>
      <c r="AM190" s="387"/>
      <c r="AN190" s="387"/>
      <c r="AO190" s="387"/>
      <c r="AP190" s="387"/>
      <c r="AQ190" s="387"/>
      <c r="AR190" s="387"/>
      <c r="AS190" s="387"/>
      <c r="AT190" s="387"/>
      <c r="AU190" s="387"/>
      <c r="AV190" s="387"/>
      <c r="AW190" s="387"/>
      <c r="AX190" s="387"/>
      <c r="AY190" s="387"/>
      <c r="AZ190" s="387"/>
    </row>
    <row r="191" spans="2:52" ht="12.75">
      <c r="B191" s="387"/>
      <c r="C191" s="387"/>
      <c r="D191" s="387"/>
      <c r="E191" s="387"/>
      <c r="F191" s="387"/>
      <c r="G191" s="387"/>
      <c r="H191" s="387"/>
      <c r="I191" s="387"/>
      <c r="J191" s="387"/>
      <c r="K191" s="387"/>
      <c r="L191" s="387"/>
      <c r="M191" s="387"/>
      <c r="N191" s="387"/>
      <c r="O191" s="387"/>
      <c r="P191" s="387"/>
      <c r="Q191" s="387"/>
      <c r="R191" s="387"/>
      <c r="S191" s="387"/>
      <c r="T191" s="387"/>
      <c r="U191" s="387"/>
      <c r="V191" s="387"/>
      <c r="W191" s="387"/>
      <c r="X191" s="387"/>
      <c r="Y191" s="387"/>
      <c r="Z191" s="387"/>
      <c r="AA191" s="387"/>
      <c r="AB191" s="387"/>
      <c r="AC191" s="387"/>
      <c r="AD191" s="387"/>
      <c r="AE191" s="387"/>
      <c r="AF191" s="387"/>
      <c r="AG191" s="387"/>
      <c r="AH191" s="387"/>
      <c r="AI191" s="387"/>
      <c r="AJ191" s="387"/>
      <c r="AK191" s="387"/>
      <c r="AL191" s="387"/>
      <c r="AM191" s="387"/>
      <c r="AN191" s="387"/>
      <c r="AO191" s="387"/>
      <c r="AP191" s="387"/>
      <c r="AQ191" s="387"/>
      <c r="AR191" s="387"/>
      <c r="AS191" s="387"/>
      <c r="AT191" s="387"/>
      <c r="AU191" s="387"/>
      <c r="AV191" s="387"/>
      <c r="AW191" s="387"/>
      <c r="AX191" s="387"/>
      <c r="AY191" s="387"/>
      <c r="AZ191" s="387"/>
    </row>
    <row r="192" spans="2:52" ht="12.75">
      <c r="B192" s="387"/>
      <c r="C192" s="387"/>
      <c r="D192" s="387"/>
      <c r="E192" s="387"/>
      <c r="F192" s="387"/>
      <c r="G192" s="387"/>
      <c r="H192" s="387"/>
      <c r="I192" s="387"/>
      <c r="J192" s="387"/>
      <c r="K192" s="387"/>
      <c r="L192" s="387"/>
      <c r="M192" s="387"/>
      <c r="N192" s="387"/>
      <c r="O192" s="387"/>
      <c r="P192" s="387"/>
      <c r="Q192" s="387"/>
      <c r="R192" s="387"/>
      <c r="S192" s="387"/>
      <c r="T192" s="387"/>
      <c r="U192" s="387"/>
      <c r="V192" s="387"/>
      <c r="W192" s="387"/>
      <c r="X192" s="387"/>
      <c r="Y192" s="387"/>
      <c r="Z192" s="387"/>
      <c r="AA192" s="387"/>
      <c r="AB192" s="387"/>
      <c r="AC192" s="387"/>
      <c r="AD192" s="387"/>
      <c r="AE192" s="387"/>
      <c r="AF192" s="387"/>
      <c r="AG192" s="387"/>
      <c r="AH192" s="387"/>
      <c r="AI192" s="387"/>
      <c r="AJ192" s="387"/>
      <c r="AK192" s="387"/>
      <c r="AL192" s="387"/>
      <c r="AM192" s="387"/>
      <c r="AN192" s="387"/>
      <c r="AO192" s="387"/>
      <c r="AP192" s="387"/>
      <c r="AQ192" s="387"/>
      <c r="AR192" s="387"/>
      <c r="AS192" s="387"/>
      <c r="AT192" s="387"/>
      <c r="AU192" s="387"/>
      <c r="AV192" s="387"/>
      <c r="AW192" s="387"/>
      <c r="AX192" s="387"/>
      <c r="AY192" s="387"/>
      <c r="AZ192" s="387"/>
    </row>
    <row r="193" spans="2:52" ht="12.75">
      <c r="B193" s="387"/>
      <c r="C193" s="387"/>
      <c r="D193" s="387"/>
      <c r="E193" s="387"/>
      <c r="F193" s="387"/>
      <c r="G193" s="387"/>
      <c r="H193" s="387"/>
      <c r="I193" s="387"/>
      <c r="J193" s="387"/>
      <c r="K193" s="387"/>
      <c r="L193" s="387"/>
      <c r="M193" s="387"/>
      <c r="N193" s="387"/>
      <c r="O193" s="387"/>
      <c r="P193" s="387"/>
      <c r="Q193" s="387"/>
      <c r="R193" s="387"/>
      <c r="S193" s="387"/>
      <c r="T193" s="387"/>
      <c r="U193" s="387"/>
      <c r="V193" s="387"/>
      <c r="W193" s="387"/>
      <c r="X193" s="387"/>
      <c r="Y193" s="387"/>
      <c r="Z193" s="387"/>
      <c r="AA193" s="387"/>
      <c r="AB193" s="387"/>
      <c r="AC193" s="387"/>
      <c r="AD193" s="387"/>
      <c r="AE193" s="387"/>
      <c r="AF193" s="387"/>
      <c r="AG193" s="387"/>
      <c r="AH193" s="387"/>
      <c r="AI193" s="387"/>
      <c r="AJ193" s="387"/>
      <c r="AK193" s="387"/>
      <c r="AL193" s="387"/>
      <c r="AM193" s="387"/>
      <c r="AN193" s="387"/>
      <c r="AO193" s="387"/>
      <c r="AP193" s="387"/>
      <c r="AQ193" s="387"/>
      <c r="AR193" s="387"/>
      <c r="AS193" s="387"/>
      <c r="AT193" s="387"/>
      <c r="AU193" s="387"/>
      <c r="AV193" s="387"/>
      <c r="AW193" s="387"/>
      <c r="AX193" s="387"/>
      <c r="AY193" s="387"/>
      <c r="AZ193" s="387"/>
    </row>
    <row r="194" spans="2:52" ht="12.75">
      <c r="B194" s="387"/>
      <c r="C194" s="387"/>
      <c r="D194" s="387"/>
      <c r="E194" s="387"/>
      <c r="F194" s="387"/>
      <c r="G194" s="387"/>
      <c r="H194" s="387"/>
      <c r="I194" s="387"/>
      <c r="J194" s="387"/>
      <c r="K194" s="387"/>
      <c r="L194" s="387"/>
      <c r="M194" s="387"/>
      <c r="N194" s="387"/>
      <c r="O194" s="387"/>
      <c r="P194" s="387"/>
      <c r="Q194" s="387"/>
      <c r="R194" s="387"/>
      <c r="S194" s="387"/>
      <c r="T194" s="387"/>
      <c r="U194" s="387"/>
      <c r="V194" s="387"/>
      <c r="W194" s="387"/>
      <c r="X194" s="387"/>
      <c r="Y194" s="387"/>
      <c r="Z194" s="387"/>
      <c r="AA194" s="387"/>
      <c r="AB194" s="387"/>
      <c r="AC194" s="387"/>
      <c r="AD194" s="387"/>
      <c r="AE194" s="387"/>
      <c r="AF194" s="387"/>
      <c r="AG194" s="387"/>
      <c r="AH194" s="387"/>
      <c r="AI194" s="387"/>
      <c r="AJ194" s="387"/>
      <c r="AK194" s="387"/>
      <c r="AL194" s="387"/>
      <c r="AM194" s="387"/>
      <c r="AN194" s="387"/>
      <c r="AO194" s="387"/>
      <c r="AP194" s="387"/>
      <c r="AQ194" s="387"/>
      <c r="AR194" s="387"/>
      <c r="AS194" s="387"/>
      <c r="AT194" s="387"/>
      <c r="AU194" s="387"/>
      <c r="AV194" s="387"/>
      <c r="AW194" s="387"/>
      <c r="AX194" s="387"/>
      <c r="AY194" s="387"/>
      <c r="AZ194" s="387"/>
    </row>
    <row r="195" spans="2:52" ht="12.75">
      <c r="B195" s="387"/>
      <c r="C195" s="387"/>
      <c r="D195" s="387"/>
      <c r="E195" s="387"/>
      <c r="F195" s="387"/>
      <c r="G195" s="387"/>
      <c r="H195" s="387"/>
      <c r="I195" s="387"/>
      <c r="J195" s="387"/>
      <c r="K195" s="387"/>
      <c r="L195" s="387"/>
      <c r="M195" s="387"/>
      <c r="N195" s="387"/>
      <c r="O195" s="387"/>
      <c r="P195" s="387"/>
      <c r="Q195" s="387"/>
      <c r="R195" s="387"/>
      <c r="S195" s="387"/>
      <c r="T195" s="387"/>
      <c r="U195" s="387"/>
      <c r="V195" s="387"/>
      <c r="W195" s="387"/>
      <c r="X195" s="387"/>
      <c r="Y195" s="387"/>
      <c r="Z195" s="387"/>
      <c r="AA195" s="387"/>
      <c r="AB195" s="387"/>
      <c r="AC195" s="387"/>
      <c r="AD195" s="387"/>
      <c r="AE195" s="387"/>
      <c r="AF195" s="387"/>
      <c r="AG195" s="387"/>
      <c r="AH195" s="387"/>
      <c r="AI195" s="387"/>
      <c r="AJ195" s="387"/>
      <c r="AK195" s="387"/>
      <c r="AL195" s="387"/>
      <c r="AM195" s="387"/>
      <c r="AN195" s="387"/>
      <c r="AO195" s="387"/>
      <c r="AP195" s="387"/>
      <c r="AQ195" s="387"/>
      <c r="AR195" s="387"/>
      <c r="AS195" s="387"/>
      <c r="AT195" s="387"/>
      <c r="AU195" s="387"/>
      <c r="AV195" s="387"/>
      <c r="AW195" s="387"/>
      <c r="AX195" s="387"/>
      <c r="AY195" s="387"/>
      <c r="AZ195" s="387"/>
    </row>
    <row r="196" spans="2:52" ht="12.75">
      <c r="B196" s="387"/>
      <c r="C196" s="387"/>
      <c r="D196" s="387"/>
      <c r="E196" s="387"/>
      <c r="F196" s="387"/>
      <c r="G196" s="387"/>
      <c r="H196" s="387"/>
      <c r="I196" s="387"/>
      <c r="J196" s="387"/>
      <c r="K196" s="387"/>
      <c r="L196" s="387"/>
      <c r="M196" s="387"/>
      <c r="N196" s="387"/>
      <c r="O196" s="387"/>
      <c r="P196" s="387"/>
      <c r="Q196" s="387"/>
      <c r="R196" s="387"/>
      <c r="S196" s="387"/>
      <c r="T196" s="387"/>
      <c r="U196" s="387"/>
      <c r="V196" s="387"/>
      <c r="W196" s="387"/>
      <c r="X196" s="387"/>
      <c r="Y196" s="387"/>
      <c r="Z196" s="387"/>
      <c r="AA196" s="387"/>
      <c r="AB196" s="387"/>
      <c r="AC196" s="387"/>
      <c r="AD196" s="387"/>
      <c r="AE196" s="387"/>
      <c r="AF196" s="387"/>
      <c r="AG196" s="387"/>
      <c r="AH196" s="387"/>
      <c r="AI196" s="387"/>
      <c r="AJ196" s="387"/>
      <c r="AK196" s="387"/>
      <c r="AL196" s="387"/>
      <c r="AM196" s="387"/>
      <c r="AN196" s="387"/>
      <c r="AO196" s="387"/>
      <c r="AP196" s="387"/>
      <c r="AQ196" s="387"/>
      <c r="AR196" s="387"/>
      <c r="AS196" s="387"/>
      <c r="AT196" s="387"/>
      <c r="AU196" s="387"/>
      <c r="AV196" s="387"/>
      <c r="AW196" s="387"/>
      <c r="AX196" s="387"/>
      <c r="AY196" s="387"/>
      <c r="AZ196" s="387"/>
    </row>
    <row r="197" spans="2:52" ht="12.75">
      <c r="B197" s="387"/>
      <c r="C197" s="387"/>
      <c r="D197" s="387"/>
      <c r="E197" s="387"/>
      <c r="F197" s="387"/>
      <c r="G197" s="387"/>
      <c r="H197" s="387"/>
      <c r="I197" s="387"/>
      <c r="J197" s="387"/>
      <c r="K197" s="387"/>
      <c r="L197" s="387"/>
      <c r="M197" s="387"/>
      <c r="N197" s="387"/>
      <c r="O197" s="387"/>
      <c r="P197" s="387"/>
      <c r="Q197" s="387"/>
      <c r="R197" s="387"/>
      <c r="S197" s="387"/>
      <c r="T197" s="387"/>
      <c r="U197" s="387"/>
      <c r="V197" s="387"/>
      <c r="W197" s="387"/>
      <c r="X197" s="387"/>
      <c r="Y197" s="387"/>
      <c r="Z197" s="387"/>
      <c r="AA197" s="387"/>
      <c r="AB197" s="387"/>
      <c r="AC197" s="387"/>
      <c r="AD197" s="387"/>
      <c r="AE197" s="387"/>
      <c r="AF197" s="387"/>
      <c r="AG197" s="387"/>
      <c r="AH197" s="387"/>
      <c r="AI197" s="387"/>
      <c r="AJ197" s="387"/>
      <c r="AK197" s="387"/>
      <c r="AL197" s="387"/>
      <c r="AM197" s="387"/>
      <c r="AN197" s="387"/>
      <c r="AO197" s="387"/>
      <c r="AP197" s="387"/>
      <c r="AQ197" s="387"/>
      <c r="AR197" s="387"/>
      <c r="AS197" s="387"/>
      <c r="AT197" s="387"/>
      <c r="AU197" s="387"/>
      <c r="AV197" s="387"/>
      <c r="AW197" s="387"/>
      <c r="AX197" s="387"/>
      <c r="AY197" s="387"/>
      <c r="AZ197" s="387"/>
    </row>
    <row r="198" spans="2:52" ht="12.75">
      <c r="B198" s="387"/>
      <c r="C198" s="387"/>
      <c r="D198" s="387"/>
      <c r="E198" s="387"/>
      <c r="F198" s="387"/>
      <c r="G198" s="387"/>
      <c r="H198" s="387"/>
      <c r="I198" s="387"/>
      <c r="J198" s="387"/>
      <c r="K198" s="387"/>
      <c r="L198" s="387"/>
      <c r="M198" s="387"/>
      <c r="N198" s="387"/>
      <c r="O198" s="387"/>
      <c r="P198" s="387"/>
      <c r="Q198" s="387"/>
      <c r="R198" s="387"/>
      <c r="S198" s="387"/>
      <c r="T198" s="387"/>
      <c r="U198" s="387"/>
      <c r="V198" s="387"/>
      <c r="W198" s="387"/>
      <c r="X198" s="387"/>
      <c r="Y198" s="387"/>
      <c r="Z198" s="387"/>
      <c r="AA198" s="387"/>
      <c r="AB198" s="387"/>
      <c r="AC198" s="387"/>
      <c r="AD198" s="387"/>
      <c r="AE198" s="387"/>
      <c r="AF198" s="387"/>
      <c r="AG198" s="387"/>
      <c r="AH198" s="387"/>
      <c r="AI198" s="387"/>
      <c r="AJ198" s="387"/>
      <c r="AK198" s="387"/>
      <c r="AL198" s="387"/>
      <c r="AM198" s="387"/>
      <c r="AN198" s="387"/>
      <c r="AO198" s="387"/>
      <c r="AP198" s="387"/>
      <c r="AQ198" s="387"/>
      <c r="AR198" s="387"/>
      <c r="AS198" s="387"/>
      <c r="AT198" s="387"/>
      <c r="AU198" s="387"/>
      <c r="AV198" s="387"/>
      <c r="AW198" s="387"/>
      <c r="AX198" s="387"/>
      <c r="AY198" s="387"/>
      <c r="AZ198" s="387"/>
    </row>
    <row r="199" spans="2:52" ht="12.75">
      <c r="B199" s="387"/>
      <c r="C199" s="387"/>
      <c r="D199" s="387"/>
      <c r="E199" s="387"/>
      <c r="F199" s="387"/>
      <c r="G199" s="387"/>
      <c r="H199" s="387"/>
      <c r="I199" s="387"/>
      <c r="J199" s="387"/>
      <c r="K199" s="387"/>
      <c r="L199" s="387"/>
      <c r="M199" s="387"/>
      <c r="N199" s="387"/>
      <c r="O199" s="387"/>
      <c r="P199" s="387"/>
      <c r="Q199" s="387"/>
      <c r="R199" s="387"/>
      <c r="S199" s="387"/>
      <c r="T199" s="387"/>
      <c r="U199" s="387"/>
      <c r="V199" s="387"/>
      <c r="W199" s="387"/>
      <c r="X199" s="387"/>
      <c r="Y199" s="387"/>
      <c r="Z199" s="387"/>
      <c r="AA199" s="387"/>
      <c r="AB199" s="387"/>
      <c r="AC199" s="387"/>
      <c r="AD199" s="387"/>
      <c r="AE199" s="387"/>
      <c r="AF199" s="387"/>
      <c r="AG199" s="387"/>
      <c r="AH199" s="387"/>
      <c r="AI199" s="387"/>
      <c r="AJ199" s="387"/>
      <c r="AK199" s="387"/>
      <c r="AL199" s="387"/>
      <c r="AM199" s="387"/>
      <c r="AN199" s="387"/>
      <c r="AO199" s="387"/>
      <c r="AP199" s="387"/>
      <c r="AQ199" s="387"/>
      <c r="AR199" s="387"/>
      <c r="AS199" s="387"/>
      <c r="AT199" s="387"/>
      <c r="AU199" s="387"/>
      <c r="AV199" s="387"/>
      <c r="AW199" s="387"/>
      <c r="AX199" s="387"/>
      <c r="AY199" s="387"/>
      <c r="AZ199" s="387"/>
    </row>
    <row r="200" spans="2:52" ht="12.75">
      <c r="B200" s="387"/>
      <c r="C200" s="387"/>
      <c r="D200" s="387"/>
      <c r="E200" s="387"/>
      <c r="F200" s="387"/>
      <c r="G200" s="387"/>
      <c r="H200" s="387"/>
      <c r="I200" s="387"/>
      <c r="J200" s="387"/>
      <c r="K200" s="387"/>
      <c r="L200" s="387"/>
      <c r="M200" s="387"/>
      <c r="N200" s="387"/>
      <c r="O200" s="387"/>
      <c r="P200" s="387"/>
      <c r="Q200" s="387"/>
      <c r="R200" s="387"/>
      <c r="S200" s="387"/>
      <c r="T200" s="387"/>
      <c r="U200" s="387"/>
      <c r="V200" s="387"/>
      <c r="W200" s="387"/>
      <c r="X200" s="387"/>
      <c r="Y200" s="387"/>
      <c r="Z200" s="387"/>
      <c r="AA200" s="387"/>
      <c r="AB200" s="387"/>
      <c r="AC200" s="387"/>
      <c r="AD200" s="387"/>
      <c r="AE200" s="387"/>
      <c r="AF200" s="387"/>
      <c r="AG200" s="387"/>
      <c r="AH200" s="387"/>
      <c r="AI200" s="387"/>
      <c r="AJ200" s="387"/>
      <c r="AK200" s="387"/>
      <c r="AL200" s="387"/>
      <c r="AM200" s="387"/>
      <c r="AN200" s="387"/>
      <c r="AO200" s="387"/>
      <c r="AP200" s="387"/>
      <c r="AQ200" s="387"/>
      <c r="AR200" s="387"/>
      <c r="AS200" s="387"/>
      <c r="AT200" s="387"/>
      <c r="AU200" s="387"/>
      <c r="AV200" s="387"/>
      <c r="AW200" s="387"/>
      <c r="AX200" s="387"/>
      <c r="AY200" s="387"/>
      <c r="AZ200" s="387"/>
    </row>
    <row r="201" spans="2:52" ht="12.75">
      <c r="B201" s="387"/>
      <c r="C201" s="387"/>
      <c r="D201" s="387"/>
      <c r="E201" s="387"/>
      <c r="F201" s="387"/>
      <c r="G201" s="387"/>
      <c r="H201" s="387"/>
      <c r="I201" s="387"/>
      <c r="J201" s="387"/>
      <c r="K201" s="387"/>
      <c r="L201" s="387"/>
      <c r="M201" s="387"/>
      <c r="N201" s="387"/>
      <c r="O201" s="387"/>
      <c r="P201" s="387"/>
      <c r="Q201" s="387"/>
      <c r="R201" s="387"/>
      <c r="S201" s="387"/>
      <c r="T201" s="387"/>
      <c r="U201" s="387"/>
      <c r="V201" s="387"/>
      <c r="W201" s="387"/>
      <c r="X201" s="387"/>
      <c r="Y201" s="387"/>
      <c r="Z201" s="387"/>
      <c r="AA201" s="387"/>
      <c r="AB201" s="387"/>
      <c r="AC201" s="387"/>
      <c r="AD201" s="387"/>
      <c r="AE201" s="387"/>
      <c r="AF201" s="387"/>
      <c r="AG201" s="387"/>
      <c r="AH201" s="387"/>
      <c r="AI201" s="387"/>
      <c r="AJ201" s="387"/>
      <c r="AK201" s="387"/>
      <c r="AL201" s="387"/>
      <c r="AM201" s="387"/>
      <c r="AN201" s="387"/>
      <c r="AO201" s="387"/>
      <c r="AP201" s="387"/>
      <c r="AQ201" s="387"/>
      <c r="AR201" s="387"/>
      <c r="AS201" s="387"/>
      <c r="AT201" s="387"/>
      <c r="AU201" s="387"/>
      <c r="AV201" s="387"/>
      <c r="AW201" s="387"/>
      <c r="AX201" s="387"/>
      <c r="AY201" s="387"/>
      <c r="AZ201" s="387"/>
    </row>
    <row r="202" spans="2:52" ht="12.75">
      <c r="B202" s="387"/>
      <c r="C202" s="387"/>
      <c r="D202" s="387"/>
      <c r="E202" s="387"/>
      <c r="F202" s="387"/>
      <c r="G202" s="387"/>
      <c r="H202" s="387"/>
      <c r="I202" s="387"/>
      <c r="J202" s="387"/>
      <c r="K202" s="387"/>
      <c r="L202" s="387"/>
      <c r="M202" s="387"/>
      <c r="N202" s="387"/>
      <c r="O202" s="387"/>
      <c r="P202" s="387"/>
      <c r="Q202" s="387"/>
      <c r="R202" s="387"/>
      <c r="S202" s="387"/>
      <c r="T202" s="387"/>
      <c r="U202" s="387"/>
      <c r="V202" s="387"/>
      <c r="W202" s="387"/>
      <c r="X202" s="387"/>
      <c r="Y202" s="387"/>
      <c r="Z202" s="387"/>
      <c r="AA202" s="387"/>
      <c r="AB202" s="387"/>
      <c r="AC202" s="387"/>
      <c r="AD202" s="387"/>
      <c r="AE202" s="387"/>
      <c r="AF202" s="387"/>
      <c r="AG202" s="387"/>
      <c r="AH202" s="387"/>
      <c r="AI202" s="387"/>
      <c r="AJ202" s="387"/>
      <c r="AK202" s="387"/>
      <c r="AL202" s="387"/>
      <c r="AM202" s="387"/>
      <c r="AN202" s="387"/>
      <c r="AO202" s="387"/>
      <c r="AP202" s="387"/>
      <c r="AQ202" s="387"/>
      <c r="AR202" s="387"/>
      <c r="AS202" s="387"/>
      <c r="AT202" s="387"/>
      <c r="AU202" s="387"/>
      <c r="AV202" s="387"/>
      <c r="AW202" s="387"/>
      <c r="AX202" s="387"/>
      <c r="AY202" s="387"/>
      <c r="AZ202" s="387"/>
    </row>
    <row r="203" spans="2:52" ht="12.75">
      <c r="B203" s="387"/>
      <c r="C203" s="387"/>
      <c r="D203" s="387"/>
      <c r="E203" s="387"/>
      <c r="F203" s="387"/>
      <c r="G203" s="387"/>
      <c r="H203" s="387"/>
      <c r="I203" s="387"/>
      <c r="J203" s="387"/>
      <c r="K203" s="387"/>
      <c r="L203" s="387"/>
      <c r="M203" s="387"/>
      <c r="N203" s="387"/>
      <c r="O203" s="387"/>
      <c r="P203" s="387"/>
      <c r="Q203" s="387"/>
      <c r="R203" s="387"/>
      <c r="S203" s="387"/>
      <c r="T203" s="387"/>
      <c r="U203" s="387"/>
      <c r="V203" s="387"/>
      <c r="W203" s="387"/>
      <c r="X203" s="387"/>
      <c r="Y203" s="387"/>
      <c r="Z203" s="387"/>
      <c r="AA203" s="387"/>
      <c r="AB203" s="387"/>
      <c r="AC203" s="387"/>
      <c r="AD203" s="387"/>
      <c r="AE203" s="387"/>
      <c r="AF203" s="387"/>
      <c r="AG203" s="387"/>
      <c r="AH203" s="387"/>
      <c r="AI203" s="387"/>
      <c r="AJ203" s="387"/>
      <c r="AK203" s="387"/>
      <c r="AL203" s="387"/>
      <c r="AM203" s="387"/>
      <c r="AN203" s="387"/>
      <c r="AO203" s="387"/>
      <c r="AP203" s="387"/>
      <c r="AQ203" s="387"/>
      <c r="AR203" s="387"/>
      <c r="AS203" s="387"/>
      <c r="AT203" s="387"/>
      <c r="AU203" s="387"/>
      <c r="AV203" s="387"/>
      <c r="AW203" s="387"/>
      <c r="AX203" s="387"/>
      <c r="AY203" s="387"/>
      <c r="AZ203" s="387"/>
    </row>
    <row r="204" spans="2:52" ht="12.75">
      <c r="B204" s="387"/>
      <c r="C204" s="387"/>
      <c r="D204" s="387"/>
      <c r="E204" s="387"/>
      <c r="F204" s="387"/>
      <c r="G204" s="387"/>
      <c r="J204" s="387"/>
      <c r="K204" s="387"/>
      <c r="L204" s="387"/>
      <c r="M204" s="387"/>
      <c r="N204" s="387"/>
      <c r="O204" s="387"/>
      <c r="P204" s="387"/>
      <c r="Q204" s="387"/>
      <c r="R204" s="387"/>
      <c r="S204" s="387"/>
      <c r="T204" s="387"/>
      <c r="U204" s="387"/>
      <c r="V204" s="387"/>
      <c r="W204" s="387"/>
      <c r="X204" s="387"/>
      <c r="Y204" s="387"/>
      <c r="Z204" s="387"/>
      <c r="AA204" s="387"/>
      <c r="AB204" s="387"/>
      <c r="AC204" s="387"/>
      <c r="AD204" s="387"/>
      <c r="AE204" s="387"/>
      <c r="AF204" s="387"/>
      <c r="AG204" s="387"/>
      <c r="AH204" s="387"/>
      <c r="AI204" s="387"/>
      <c r="AJ204" s="387"/>
      <c r="AK204" s="387"/>
      <c r="AL204" s="387"/>
      <c r="AM204" s="387"/>
      <c r="AN204" s="387"/>
      <c r="AO204" s="387"/>
      <c r="AP204" s="387"/>
      <c r="AQ204" s="387"/>
      <c r="AR204" s="387"/>
      <c r="AS204" s="387"/>
      <c r="AT204" s="387"/>
      <c r="AU204" s="387"/>
      <c r="AV204" s="387"/>
      <c r="AW204" s="387"/>
      <c r="AX204" s="387"/>
      <c r="AY204" s="387"/>
      <c r="AZ204" s="387"/>
    </row>
  </sheetData>
  <sheetProtection/>
  <mergeCells count="17">
    <mergeCell ref="B1:H1"/>
    <mergeCell ref="C20:F20"/>
    <mergeCell ref="C25:F25"/>
    <mergeCell ref="C28:G28"/>
    <mergeCell ref="C24:F24"/>
    <mergeCell ref="C19:G19"/>
    <mergeCell ref="C23:G23"/>
    <mergeCell ref="B4:H4"/>
    <mergeCell ref="C38:G38"/>
    <mergeCell ref="C39:G39"/>
    <mergeCell ref="C17:F17"/>
    <mergeCell ref="C33:G33"/>
    <mergeCell ref="C35:G35"/>
    <mergeCell ref="C29:G29"/>
    <mergeCell ref="C31:G31"/>
    <mergeCell ref="C21:F21"/>
    <mergeCell ref="C22:F22"/>
  </mergeCells>
  <printOptions/>
  <pageMargins left="0.5" right="0.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2.8515625" style="0" customWidth="1"/>
    <col min="2" max="2" width="35.00390625" style="0" customWidth="1"/>
    <col min="3" max="3" width="10.140625" style="0" customWidth="1"/>
    <col min="4" max="4" width="12.28125" style="0" bestFit="1" customWidth="1"/>
    <col min="5" max="5" width="2.7109375" style="0" customWidth="1"/>
    <col min="6" max="6" width="12.421875" style="0" bestFit="1" customWidth="1"/>
    <col min="7" max="10" width="10.421875" style="0" bestFit="1" customWidth="1"/>
  </cols>
  <sheetData>
    <row r="1" spans="3:12" ht="12.75">
      <c r="C1" s="438" t="s">
        <v>440</v>
      </c>
      <c r="D1" s="438"/>
      <c r="E1" s="438"/>
      <c r="F1" s="438"/>
      <c r="G1" s="438"/>
      <c r="H1" s="438"/>
      <c r="I1" s="438"/>
      <c r="J1" s="438"/>
      <c r="K1" s="438"/>
      <c r="L1" s="438"/>
    </row>
    <row r="2" spans="1:2" ht="15.75">
      <c r="A2" s="2" t="s">
        <v>198</v>
      </c>
      <c r="B2" s="8"/>
    </row>
    <row r="3" spans="1:6" ht="12.75">
      <c r="A3" s="449" t="s">
        <v>614</v>
      </c>
      <c r="B3" s="441"/>
      <c r="C3" s="441"/>
      <c r="D3" s="441"/>
      <c r="E3" s="441"/>
      <c r="F3" s="441"/>
    </row>
    <row r="4" ht="12.75">
      <c r="F4" s="117" t="s">
        <v>228</v>
      </c>
    </row>
    <row r="5" spans="1:11" ht="12.75">
      <c r="A5" t="s">
        <v>77</v>
      </c>
      <c r="B5" t="s">
        <v>210</v>
      </c>
      <c r="F5" s="116">
        <v>2006</v>
      </c>
      <c r="G5" s="116">
        <v>2007</v>
      </c>
      <c r="H5" s="116">
        <v>2008</v>
      </c>
      <c r="I5" s="116">
        <v>2009</v>
      </c>
      <c r="J5" s="116">
        <v>2010</v>
      </c>
      <c r="K5" s="8" t="s">
        <v>243</v>
      </c>
    </row>
    <row r="6" spans="2:11" ht="12.75">
      <c r="B6" t="s">
        <v>203</v>
      </c>
      <c r="D6" s="5">
        <v>250000</v>
      </c>
      <c r="F6" s="213">
        <v>0.125</v>
      </c>
      <c r="G6" s="213">
        <f>$D$6/1000000</f>
        <v>0.25</v>
      </c>
      <c r="H6" s="213">
        <f>$D$6/1000000</f>
        <v>0.25</v>
      </c>
      <c r="I6" s="213">
        <f>$D$6/1000000</f>
        <v>0.25</v>
      </c>
      <c r="J6" s="213">
        <f>$D$6/1000000</f>
        <v>0.25</v>
      </c>
      <c r="K6" t="s">
        <v>234</v>
      </c>
    </row>
    <row r="7" spans="2:10" ht="12.75">
      <c r="B7" t="s">
        <v>204</v>
      </c>
      <c r="D7" s="5"/>
      <c r="F7" s="213"/>
      <c r="G7" s="213"/>
      <c r="H7" s="213"/>
      <c r="I7" s="213"/>
      <c r="J7" s="213"/>
    </row>
    <row r="8" spans="2:11" ht="12.75">
      <c r="B8" t="s">
        <v>205</v>
      </c>
      <c r="D8" s="5">
        <f>15*35000</f>
        <v>525000</v>
      </c>
      <c r="F8" s="213">
        <f>D8/2/1000000</f>
        <v>0.2625</v>
      </c>
      <c r="G8" s="213">
        <f>$D$8/1000000</f>
        <v>0.525</v>
      </c>
      <c r="H8" s="213">
        <f>$D$8/1000000</f>
        <v>0.525</v>
      </c>
      <c r="I8" s="213">
        <f>$D$8/1000000</f>
        <v>0.525</v>
      </c>
      <c r="J8" s="213">
        <f>$D$8/1000000</f>
        <v>0.525</v>
      </c>
      <c r="K8" t="s">
        <v>235</v>
      </c>
    </row>
    <row r="9" spans="2:10" ht="12.75">
      <c r="B9" t="s">
        <v>206</v>
      </c>
      <c r="D9" s="5"/>
      <c r="F9" s="213"/>
      <c r="G9" s="213"/>
      <c r="H9" s="213"/>
      <c r="I9" s="213"/>
      <c r="J9" s="213"/>
    </row>
    <row r="10" spans="2:11" ht="12.75">
      <c r="B10" t="s">
        <v>207</v>
      </c>
      <c r="D10" s="114">
        <v>900000</v>
      </c>
      <c r="F10" s="213">
        <f>D10/2/1000000</f>
        <v>0.45</v>
      </c>
      <c r="G10" s="213">
        <f>$D$10/1000000</f>
        <v>0.9</v>
      </c>
      <c r="H10" s="213">
        <f>$D$10/1000000</f>
        <v>0.9</v>
      </c>
      <c r="I10" s="213">
        <f>$D$10/1000000</f>
        <v>0.9</v>
      </c>
      <c r="J10" s="213">
        <f>$D$10/1000000</f>
        <v>0.9</v>
      </c>
      <c r="K10" t="s">
        <v>234</v>
      </c>
    </row>
    <row r="11" spans="3:10" ht="12.75">
      <c r="C11" t="s">
        <v>138</v>
      </c>
      <c r="D11" s="215">
        <f>SUM(D6:D10)</f>
        <v>1675000</v>
      </c>
      <c r="F11" s="214">
        <f>SUM(F6:F10)</f>
        <v>0.8375</v>
      </c>
      <c r="G11" s="214">
        <f>SUM(G6:G10)</f>
        <v>1.675</v>
      </c>
      <c r="H11" s="214">
        <f>SUM(H6:H10)</f>
        <v>1.675</v>
      </c>
      <c r="I11" s="214">
        <f>SUM(I6:I10)</f>
        <v>1.675</v>
      </c>
      <c r="J11" s="214">
        <f>SUM(J6:J10)</f>
        <v>1.675</v>
      </c>
    </row>
    <row r="12" ht="12.75">
      <c r="D12" s="10"/>
    </row>
    <row r="13" spans="1:4" ht="12.75">
      <c r="A13" t="s">
        <v>103</v>
      </c>
      <c r="B13" t="s">
        <v>230</v>
      </c>
      <c r="D13" s="10"/>
    </row>
    <row r="14" spans="2:10" ht="14.25">
      <c r="B14" t="s">
        <v>615</v>
      </c>
      <c r="D14" s="10"/>
      <c r="F14" s="116">
        <v>2006</v>
      </c>
      <c r="G14" s="116">
        <v>2007</v>
      </c>
      <c r="H14" s="116">
        <v>2008</v>
      </c>
      <c r="I14" s="116">
        <v>2009</v>
      </c>
      <c r="J14" s="116">
        <v>2010</v>
      </c>
    </row>
    <row r="15" spans="2:11" ht="12.75">
      <c r="B15" t="s">
        <v>208</v>
      </c>
      <c r="D15" s="10">
        <f>D6/4</f>
        <v>62500</v>
      </c>
      <c r="F15" s="90">
        <f>D15/1000000</f>
        <v>0.0625</v>
      </c>
      <c r="K15" t="s">
        <v>236</v>
      </c>
    </row>
    <row r="16" spans="2:11" ht="12.75">
      <c r="B16" t="s">
        <v>9</v>
      </c>
      <c r="D16" s="10">
        <f>D8/12</f>
        <v>43750</v>
      </c>
      <c r="F16" s="90">
        <f>D16/1000000</f>
        <v>0.04375</v>
      </c>
      <c r="K16" t="s">
        <v>237</v>
      </c>
    </row>
    <row r="17" spans="2:6" ht="12.75">
      <c r="B17" t="s">
        <v>10</v>
      </c>
      <c r="D17" s="10"/>
      <c r="F17" s="90"/>
    </row>
    <row r="18" spans="2:11" ht="12.75">
      <c r="B18" t="s">
        <v>209</v>
      </c>
      <c r="D18" s="115">
        <f>D10/12*3</f>
        <v>225000</v>
      </c>
      <c r="F18" s="90">
        <f>D18/1000000</f>
        <v>0.225</v>
      </c>
      <c r="K18" t="s">
        <v>237</v>
      </c>
    </row>
    <row r="19" spans="3:6" ht="13.5" thickBot="1">
      <c r="C19" t="s">
        <v>138</v>
      </c>
      <c r="D19" s="23">
        <f>SUM(D15:D18)</f>
        <v>331250</v>
      </c>
      <c r="F19" s="118">
        <f>SUM(F15:F18)</f>
        <v>0.33125</v>
      </c>
    </row>
    <row r="20" ht="13.5" thickTop="1"/>
    <row r="21" spans="1:10" ht="12.75">
      <c r="A21" t="s">
        <v>85</v>
      </c>
      <c r="F21" s="116">
        <v>2006</v>
      </c>
      <c r="G21" s="116">
        <v>2007</v>
      </c>
      <c r="H21" s="116">
        <v>2008</v>
      </c>
      <c r="I21" s="116">
        <v>2009</v>
      </c>
      <c r="J21" s="116">
        <v>2010</v>
      </c>
    </row>
    <row r="22" spans="2:11" ht="15" thickBot="1">
      <c r="B22" t="s">
        <v>214</v>
      </c>
      <c r="F22" s="216">
        <v>3</v>
      </c>
      <c r="G22" s="216">
        <v>9</v>
      </c>
      <c r="H22" s="216">
        <v>12</v>
      </c>
      <c r="I22" s="216">
        <v>12</v>
      </c>
      <c r="J22" s="216">
        <v>12.5</v>
      </c>
      <c r="K22" t="s">
        <v>238</v>
      </c>
    </row>
    <row r="23" ht="13.5" thickTop="1"/>
    <row r="24" spans="1:10" ht="14.25">
      <c r="A24" t="s">
        <v>216</v>
      </c>
      <c r="B24" t="s">
        <v>222</v>
      </c>
      <c r="F24" s="116">
        <v>2006</v>
      </c>
      <c r="G24" s="116">
        <v>2007</v>
      </c>
      <c r="H24" s="116">
        <v>2008</v>
      </c>
      <c r="I24" s="116">
        <v>2009</v>
      </c>
      <c r="J24" s="116">
        <v>2010</v>
      </c>
    </row>
    <row r="25" spans="2:11" ht="12.75">
      <c r="B25" t="s">
        <v>219</v>
      </c>
      <c r="F25" s="46">
        <v>0.5</v>
      </c>
      <c r="G25" s="46">
        <v>1</v>
      </c>
      <c r="H25" s="46">
        <v>1</v>
      </c>
      <c r="I25" s="46">
        <v>1</v>
      </c>
      <c r="J25" s="46">
        <v>1</v>
      </c>
      <c r="K25" t="s">
        <v>239</v>
      </c>
    </row>
    <row r="26" spans="2:11" ht="12.75">
      <c r="B26" t="s">
        <v>220</v>
      </c>
      <c r="F26" s="46">
        <v>0.2</v>
      </c>
      <c r="G26" s="46">
        <v>0.4</v>
      </c>
      <c r="H26" s="46">
        <v>0.4</v>
      </c>
      <c r="I26" s="46">
        <v>0.4</v>
      </c>
      <c r="J26" s="46">
        <v>0.4</v>
      </c>
      <c r="K26" t="s">
        <v>240</v>
      </c>
    </row>
    <row r="27" spans="2:11" ht="12.75">
      <c r="B27" t="s">
        <v>221</v>
      </c>
      <c r="F27" s="46">
        <v>0.4</v>
      </c>
      <c r="G27" s="46">
        <v>0.8</v>
      </c>
      <c r="H27" s="46">
        <v>0.8</v>
      </c>
      <c r="I27" s="46">
        <v>0.8</v>
      </c>
      <c r="J27" s="46">
        <v>0.8</v>
      </c>
      <c r="K27" t="s">
        <v>241</v>
      </c>
    </row>
    <row r="28" spans="2:11" ht="12.75">
      <c r="B28" t="s">
        <v>217</v>
      </c>
      <c r="F28" s="46">
        <v>0.75</v>
      </c>
      <c r="G28" s="46">
        <v>1.5</v>
      </c>
      <c r="H28" s="46">
        <v>1.5</v>
      </c>
      <c r="I28" s="46">
        <v>1.5</v>
      </c>
      <c r="J28" s="46">
        <v>1.5</v>
      </c>
      <c r="K28" t="s">
        <v>241</v>
      </c>
    </row>
    <row r="29" spans="2:10" ht="12.75">
      <c r="B29" t="s">
        <v>218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</row>
    <row r="30" spans="3:10" ht="13.5" thickBot="1">
      <c r="C30" t="s">
        <v>138</v>
      </c>
      <c r="F30" s="118">
        <f>SUM(F25:F29)</f>
        <v>1.85</v>
      </c>
      <c r="G30" s="118">
        <f>SUM(G25:G29)</f>
        <v>3.7</v>
      </c>
      <c r="H30" s="118">
        <f>SUM(H25:H29)</f>
        <v>3.7</v>
      </c>
      <c r="I30" s="118">
        <f>SUM(I25:I29)</f>
        <v>3.7</v>
      </c>
      <c r="J30" s="118">
        <f>SUM(J25:J29)</f>
        <v>3.7</v>
      </c>
    </row>
    <row r="31" ht="13.5" thickTop="1"/>
    <row r="33" spans="1:2" ht="14.25">
      <c r="A33" t="s">
        <v>87</v>
      </c>
      <c r="B33" t="s">
        <v>223</v>
      </c>
    </row>
    <row r="34" spans="2:11" ht="12.75">
      <c r="B34" t="s">
        <v>226</v>
      </c>
      <c r="D34" s="6"/>
      <c r="E34" s="6"/>
      <c r="F34" s="46">
        <v>1.5</v>
      </c>
      <c r="G34" s="46">
        <v>3</v>
      </c>
      <c r="H34" s="46">
        <v>3</v>
      </c>
      <c r="I34" s="46">
        <v>3</v>
      </c>
      <c r="J34" s="46">
        <v>3</v>
      </c>
      <c r="K34" t="s">
        <v>242</v>
      </c>
    </row>
    <row r="35" spans="2:10" ht="12.75">
      <c r="B35" t="s">
        <v>227</v>
      </c>
      <c r="F35" s="90"/>
      <c r="G35" s="90"/>
      <c r="H35" s="90"/>
      <c r="I35" s="90"/>
      <c r="J35" s="90"/>
    </row>
    <row r="36" spans="6:10" ht="12.75">
      <c r="F36" s="90"/>
      <c r="G36" s="90"/>
      <c r="H36" s="90"/>
      <c r="I36" s="90"/>
      <c r="J36" s="90"/>
    </row>
    <row r="37" spans="1:11" ht="14.25">
      <c r="A37" t="s">
        <v>229</v>
      </c>
      <c r="B37" t="s">
        <v>315</v>
      </c>
      <c r="F37" s="90">
        <v>0.37</v>
      </c>
      <c r="G37" s="90"/>
      <c r="H37" s="90"/>
      <c r="I37" s="90"/>
      <c r="J37" s="90"/>
      <c r="K37" t="s">
        <v>237</v>
      </c>
    </row>
    <row r="38" spans="6:10" ht="12.75">
      <c r="F38" s="90"/>
      <c r="G38" s="90"/>
      <c r="H38" s="90"/>
      <c r="I38" s="90"/>
      <c r="J38" s="90"/>
    </row>
    <row r="39" spans="1:11" ht="14.25">
      <c r="A39" t="s">
        <v>314</v>
      </c>
      <c r="B39" t="s">
        <v>317</v>
      </c>
      <c r="F39" s="90">
        <v>0.5</v>
      </c>
      <c r="G39" s="90"/>
      <c r="H39" s="90"/>
      <c r="I39" s="90"/>
      <c r="J39" s="90"/>
      <c r="K39" t="s">
        <v>237</v>
      </c>
    </row>
    <row r="40" spans="6:10" ht="12.75">
      <c r="F40" s="90"/>
      <c r="G40" s="90"/>
      <c r="H40" s="90"/>
      <c r="I40" s="90"/>
      <c r="J40" s="90"/>
    </row>
    <row r="41" spans="4:11" ht="13.5" thickBot="1">
      <c r="D41" t="s">
        <v>589</v>
      </c>
      <c r="F41" s="119">
        <f>F11-F19+F22+F30+F34-F37-F39</f>
        <v>5.98625</v>
      </c>
      <c r="G41" s="119">
        <f>G11-G19+G22+G30+G34-G37-G39</f>
        <v>17.375</v>
      </c>
      <c r="H41" s="119">
        <f>H11-H19+H22+H30+H34-H37-H39</f>
        <v>20.375</v>
      </c>
      <c r="I41" s="119">
        <f>I11-I19+I22+I30+I34-I37-I39</f>
        <v>20.375</v>
      </c>
      <c r="J41" s="119">
        <f>J11-J19+J22+J30+J34-J37-J39</f>
        <v>20.875</v>
      </c>
      <c r="K41" s="120">
        <f>SUM(F41:J41)</f>
        <v>84.98625</v>
      </c>
    </row>
    <row r="42" ht="13.5" thickTop="1"/>
    <row r="43" ht="12.75">
      <c r="A43" t="s">
        <v>98</v>
      </c>
    </row>
    <row r="44" spans="1:2" ht="12.75">
      <c r="A44" t="s">
        <v>77</v>
      </c>
      <c r="B44" t="s">
        <v>211</v>
      </c>
    </row>
    <row r="45" ht="12.75">
      <c r="B45" t="s">
        <v>213</v>
      </c>
    </row>
    <row r="46" ht="12.75">
      <c r="B46" t="s">
        <v>11</v>
      </c>
    </row>
    <row r="47" ht="12.75">
      <c r="B47" t="s">
        <v>324</v>
      </c>
    </row>
    <row r="48" ht="12.75">
      <c r="B48" t="s">
        <v>212</v>
      </c>
    </row>
    <row r="49" spans="1:2" ht="12.75">
      <c r="A49" t="s">
        <v>103</v>
      </c>
      <c r="B49" t="s">
        <v>567</v>
      </c>
    </row>
    <row r="50" ht="12.75">
      <c r="B50" t="s">
        <v>215</v>
      </c>
    </row>
    <row r="51" ht="12.75">
      <c r="B51" t="s">
        <v>12</v>
      </c>
    </row>
    <row r="52" ht="12.75">
      <c r="B52" t="s">
        <v>313</v>
      </c>
    </row>
    <row r="53" ht="12.75">
      <c r="B53" t="s">
        <v>464</v>
      </c>
    </row>
    <row r="54" spans="1:6" ht="12.75">
      <c r="A54" t="s">
        <v>85</v>
      </c>
      <c r="B54" s="441" t="s">
        <v>616</v>
      </c>
      <c r="C54" s="441"/>
      <c r="D54" s="441"/>
      <c r="E54" s="441"/>
      <c r="F54" s="441"/>
    </row>
    <row r="55" spans="2:6" ht="12.75">
      <c r="B55" s="441" t="s">
        <v>617</v>
      </c>
      <c r="C55" s="441"/>
      <c r="D55" s="441"/>
      <c r="E55" s="441"/>
      <c r="F55" s="441"/>
    </row>
    <row r="56" ht="12.75">
      <c r="B56" t="s">
        <v>311</v>
      </c>
    </row>
    <row r="57" ht="12.75">
      <c r="B57" t="s">
        <v>224</v>
      </c>
    </row>
    <row r="58" spans="2:7" ht="12.75">
      <c r="B58" s="441" t="s">
        <v>618</v>
      </c>
      <c r="C58" s="441"/>
      <c r="D58" s="441"/>
      <c r="E58" s="441"/>
      <c r="F58" s="441"/>
      <c r="G58" s="441"/>
    </row>
    <row r="59" ht="12.75">
      <c r="B59" t="s">
        <v>568</v>
      </c>
    </row>
    <row r="60" ht="12.75">
      <c r="B60" t="s">
        <v>569</v>
      </c>
    </row>
    <row r="61" ht="12.75">
      <c r="B61" t="s">
        <v>570</v>
      </c>
    </row>
    <row r="62" ht="12.75">
      <c r="B62" t="s">
        <v>312</v>
      </c>
    </row>
    <row r="63" spans="1:2" ht="12.75">
      <c r="A63" t="s">
        <v>216</v>
      </c>
      <c r="B63" t="s">
        <v>590</v>
      </c>
    </row>
    <row r="64" ht="12.75">
      <c r="B64" t="s">
        <v>323</v>
      </c>
    </row>
    <row r="65" ht="12.75">
      <c r="B65" t="s">
        <v>465</v>
      </c>
    </row>
    <row r="66" ht="12.75">
      <c r="B66" t="s">
        <v>225</v>
      </c>
    </row>
    <row r="67" ht="12.75">
      <c r="B67" t="s">
        <v>13</v>
      </c>
    </row>
    <row r="68" spans="1:2" ht="12.75">
      <c r="A68" t="s">
        <v>87</v>
      </c>
      <c r="B68" t="s">
        <v>588</v>
      </c>
    </row>
    <row r="69" ht="12.75">
      <c r="B69" t="s">
        <v>571</v>
      </c>
    </row>
    <row r="70" ht="12.75">
      <c r="B70" t="s">
        <v>14</v>
      </c>
    </row>
    <row r="71" ht="12.75">
      <c r="B71" t="s">
        <v>316</v>
      </c>
    </row>
    <row r="72" spans="1:2" ht="12.75">
      <c r="A72" t="s">
        <v>229</v>
      </c>
      <c r="B72" t="s">
        <v>318</v>
      </c>
    </row>
    <row r="73" ht="12.75">
      <c r="B73" t="s">
        <v>319</v>
      </c>
    </row>
  </sheetData>
  <sheetProtection/>
  <mergeCells count="5">
    <mergeCell ref="B58:G58"/>
    <mergeCell ref="C1:L1"/>
    <mergeCell ref="A3:F3"/>
    <mergeCell ref="B54:F54"/>
    <mergeCell ref="B55:F55"/>
  </mergeCells>
  <printOptions/>
  <pageMargins left="0.75" right="0.75" top="1.41" bottom="0.57" header="0.93" footer="0.3"/>
  <pageSetup horizontalDpi="600" verticalDpi="600" orientation="landscape" scale="80" r:id="rId1"/>
  <headerFooter alignWithMargins="0">
    <oddHeader>&amp;C&amp;"Arial,Bold"&amp;14Acquisition Plan - JAKKS
Financial Summary of Synergy&amp;R&amp;UAppendix D</oddHeader>
    <oddFooter>&amp;LAcquisition Plan JAKKS&amp;C&amp;P of  &amp;N&amp;R&amp;D</oddFooter>
  </headerFooter>
  <rowBreaks count="1" manualBreakCount="1">
    <brk id="42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H12" sqref="H12"/>
    </sheetView>
  </sheetViews>
  <sheetFormatPr defaultColWidth="9.140625" defaultRowHeight="12.75" outlineLevelRow="1"/>
  <cols>
    <col min="1" max="1" width="26.00390625" style="0" customWidth="1"/>
    <col min="2" max="2" width="17.28125" style="0" customWidth="1"/>
    <col min="3" max="3" width="11.00390625" style="0" customWidth="1"/>
    <col min="4" max="4" width="11.57421875" style="0" customWidth="1"/>
    <col min="5" max="5" width="1.1484375" style="0" customWidth="1"/>
    <col min="6" max="6" width="10.00390625" style="0" customWidth="1"/>
    <col min="7" max="7" width="16.00390625" style="0" customWidth="1"/>
    <col min="8" max="8" width="16.140625" style="0" customWidth="1"/>
  </cols>
  <sheetData>
    <row r="1" spans="2:10" ht="12.75">
      <c r="B1" s="438" t="s">
        <v>494</v>
      </c>
      <c r="C1" s="438"/>
      <c r="D1" s="438"/>
      <c r="E1" s="438"/>
      <c r="F1" s="438"/>
      <c r="G1" s="438"/>
      <c r="H1" s="438"/>
      <c r="I1" s="438"/>
      <c r="J1" s="438"/>
    </row>
    <row r="2" spans="1:2" ht="12.75">
      <c r="A2" s="8" t="s">
        <v>269</v>
      </c>
      <c r="B2" s="1"/>
    </row>
    <row r="3" spans="1:3" ht="14.25">
      <c r="A3" s="51" t="s">
        <v>466</v>
      </c>
      <c r="B3" s="51"/>
      <c r="C3" s="91">
        <f>AP_App_B3!J11</f>
        <v>16.03</v>
      </c>
    </row>
    <row r="4" spans="1:3" ht="14.25">
      <c r="A4" s="51" t="s">
        <v>467</v>
      </c>
      <c r="B4" s="51"/>
      <c r="C4" s="91">
        <f>AP_App_B3!K11</f>
        <v>14.25</v>
      </c>
    </row>
    <row r="5" spans="1:3" ht="12.75">
      <c r="A5" s="51" t="s">
        <v>572</v>
      </c>
      <c r="B5" s="51"/>
      <c r="C5" s="38">
        <v>0.3</v>
      </c>
    </row>
    <row r="6" spans="1:3" ht="12.75">
      <c r="A6" t="s">
        <v>573</v>
      </c>
      <c r="C6">
        <f>AP_App_B1!G17</f>
        <v>19.1</v>
      </c>
    </row>
    <row r="7" spans="1:3" ht="12.75">
      <c r="A7" t="s">
        <v>247</v>
      </c>
      <c r="C7" s="92">
        <f>BP_App_B1!G16</f>
        <v>426</v>
      </c>
    </row>
    <row r="8" spans="1:3" ht="12.75">
      <c r="A8" t="s">
        <v>261</v>
      </c>
      <c r="C8">
        <v>0</v>
      </c>
    </row>
    <row r="9" ht="8.25" customHeight="1"/>
    <row r="10" spans="1:9" ht="25.5" customHeight="1">
      <c r="A10" s="1"/>
      <c r="B10" s="1"/>
      <c r="C10" s="438" t="s">
        <v>248</v>
      </c>
      <c r="D10" s="438"/>
      <c r="E10" s="50"/>
      <c r="F10" s="450" t="s">
        <v>474</v>
      </c>
      <c r="G10" s="450"/>
      <c r="H10" s="149" t="s">
        <v>249</v>
      </c>
      <c r="I10" s="50"/>
    </row>
    <row r="11" spans="3:9" s="147" customFormat="1" ht="39.75">
      <c r="C11" s="148" t="s">
        <v>475</v>
      </c>
      <c r="D11" s="148" t="s">
        <v>476</v>
      </c>
      <c r="E11" s="148"/>
      <c r="F11" s="148" t="s">
        <v>259</v>
      </c>
      <c r="G11" s="148" t="s">
        <v>260</v>
      </c>
      <c r="H11" s="148" t="s">
        <v>631</v>
      </c>
      <c r="I11" s="148"/>
    </row>
    <row r="12" spans="1:9" ht="12.75">
      <c r="A12" t="s">
        <v>258</v>
      </c>
      <c r="C12" s="141">
        <f>BP_App_B1!C84</f>
        <v>7516.722384545324</v>
      </c>
      <c r="D12" s="142">
        <f>AP_App_B1!C85</f>
        <v>590.7499576466797</v>
      </c>
      <c r="E12" s="134"/>
      <c r="F12" s="143">
        <f>C12+D12</f>
        <v>8107.472342192003</v>
      </c>
      <c r="G12" s="143">
        <f>AP_App_C!C82</f>
        <v>8475.495151607793</v>
      </c>
      <c r="H12" s="143">
        <f>G12-F12</f>
        <v>368.0228094157892</v>
      </c>
      <c r="I12" s="133"/>
    </row>
    <row r="13" spans="1:9" ht="15.75">
      <c r="A13" t="s">
        <v>250</v>
      </c>
      <c r="C13" s="142">
        <f>C4*C6</f>
        <v>272.175</v>
      </c>
      <c r="D13" s="142"/>
      <c r="E13" s="130"/>
      <c r="F13" s="130"/>
      <c r="G13" s="130"/>
      <c r="H13" s="130"/>
      <c r="I13" s="3"/>
    </row>
    <row r="14" spans="1:9" ht="15.75">
      <c r="A14" t="s">
        <v>251</v>
      </c>
      <c r="C14" s="142">
        <f>C13+H12</f>
        <v>640.1978094157892</v>
      </c>
      <c r="D14" s="142"/>
      <c r="E14" s="130"/>
      <c r="F14" s="130"/>
      <c r="G14" s="130"/>
      <c r="H14" s="130"/>
      <c r="I14" s="3"/>
    </row>
    <row r="15" spans="1:9" ht="12.75">
      <c r="A15" t="s">
        <v>252</v>
      </c>
      <c r="C15" s="142">
        <f>C13+C5*H12</f>
        <v>382.5818428247368</v>
      </c>
      <c r="D15" s="142"/>
      <c r="E15" s="130"/>
      <c r="F15" s="130"/>
      <c r="G15" s="130"/>
      <c r="H15" s="130"/>
      <c r="I15" s="3"/>
    </row>
    <row r="16" spans="1:9" ht="12.75">
      <c r="A16" t="s">
        <v>253</v>
      </c>
      <c r="C16" s="140">
        <f>C15/C6</f>
        <v>20.030462975117107</v>
      </c>
      <c r="D16" s="137"/>
      <c r="E16" s="130"/>
      <c r="F16" s="130"/>
      <c r="G16" s="130"/>
      <c r="H16" s="130"/>
      <c r="I16" s="3"/>
    </row>
    <row r="17" spans="1:9" ht="12.75">
      <c r="A17" t="s">
        <v>254</v>
      </c>
      <c r="C17" s="139">
        <f>(C16/C4)-1</f>
        <v>0.40564652456962147</v>
      </c>
      <c r="D17" s="130"/>
      <c r="E17" s="130"/>
      <c r="F17" s="130"/>
      <c r="G17" s="130"/>
      <c r="H17" s="130"/>
      <c r="I17" s="3"/>
    </row>
    <row r="18" spans="1:9" ht="12.75">
      <c r="A18" t="s">
        <v>255</v>
      </c>
      <c r="C18" s="140">
        <f>(C8*C15)/C6</f>
        <v>0</v>
      </c>
      <c r="D18" s="130"/>
      <c r="E18" s="130"/>
      <c r="F18" s="130"/>
      <c r="G18" s="130"/>
      <c r="H18" s="130"/>
      <c r="I18" s="3"/>
    </row>
    <row r="19" spans="1:9" ht="12.75">
      <c r="A19" t="s">
        <v>256</v>
      </c>
      <c r="C19" s="138">
        <f>(C16-C18)/C3</f>
        <v>1.249561009052845</v>
      </c>
      <c r="D19" s="130"/>
      <c r="E19" s="130"/>
      <c r="F19" s="130"/>
      <c r="G19" s="130"/>
      <c r="H19" s="130"/>
      <c r="I19" s="3"/>
    </row>
    <row r="20" spans="1:9" ht="12.75" outlineLevel="1">
      <c r="A20" t="s">
        <v>472</v>
      </c>
      <c r="C20" s="164">
        <f>C19*C6</f>
        <v>23.866615272909343</v>
      </c>
      <c r="D20" s="130"/>
      <c r="E20" s="130"/>
      <c r="F20" s="130"/>
      <c r="G20" s="130"/>
      <c r="H20" s="130"/>
      <c r="I20" s="3"/>
    </row>
    <row r="21" spans="1:9" ht="12.75" outlineLevel="1">
      <c r="A21" t="s">
        <v>473</v>
      </c>
      <c r="C21" s="164">
        <f>C20+C7</f>
        <v>449.86661527290937</v>
      </c>
      <c r="D21" s="130"/>
      <c r="E21" s="130"/>
      <c r="F21" s="130"/>
      <c r="G21" s="130"/>
      <c r="H21" s="130"/>
      <c r="I21" s="3"/>
    </row>
    <row r="22" spans="1:9" ht="12.75" outlineLevel="1">
      <c r="A22" t="s">
        <v>257</v>
      </c>
      <c r="C22" s="137"/>
      <c r="D22" s="130"/>
      <c r="E22" s="130"/>
      <c r="F22" s="130"/>
      <c r="G22" s="130"/>
      <c r="H22" s="130"/>
      <c r="I22" s="3"/>
    </row>
    <row r="23" spans="1:9" ht="12.75" outlineLevel="1">
      <c r="A23" t="s">
        <v>470</v>
      </c>
      <c r="C23" s="139">
        <f>C7/C21</f>
        <v>0.9469473518090894</v>
      </c>
      <c r="D23" s="130"/>
      <c r="E23" s="130"/>
      <c r="F23" s="130"/>
      <c r="G23" s="130"/>
      <c r="H23" s="130"/>
      <c r="I23" s="3"/>
    </row>
    <row r="24" spans="1:9" ht="12.75">
      <c r="A24" t="s">
        <v>471</v>
      </c>
      <c r="C24" s="139">
        <f>C20/C21</f>
        <v>0.0530526481909105</v>
      </c>
      <c r="D24" s="130"/>
      <c r="E24" s="130"/>
      <c r="F24" s="130"/>
      <c r="G24" s="130"/>
      <c r="H24" s="130"/>
      <c r="I24" s="3"/>
    </row>
    <row r="25" spans="2:10" ht="12.75">
      <c r="B25" s="191" t="s">
        <v>302</v>
      </c>
      <c r="C25" s="150"/>
      <c r="D25" s="151"/>
      <c r="E25" s="151"/>
      <c r="F25" s="152">
        <v>2006</v>
      </c>
      <c r="G25" s="152">
        <v>2007</v>
      </c>
      <c r="H25" s="152">
        <v>2008</v>
      </c>
      <c r="I25" s="152">
        <v>2009</v>
      </c>
      <c r="J25" s="153">
        <v>2010</v>
      </c>
    </row>
    <row r="26" spans="2:10" ht="12.75">
      <c r="B26" s="126" t="s">
        <v>507</v>
      </c>
      <c r="C26" s="154" t="s">
        <v>508</v>
      </c>
      <c r="D26" s="155" t="s">
        <v>574</v>
      </c>
      <c r="E26" s="156"/>
      <c r="F26" s="157">
        <f>BP_App_B1!G43/$C$7</f>
        <v>1.0397366985781749</v>
      </c>
      <c r="G26" s="157">
        <f>BP_App_B1!H43/$C$7</f>
        <v>1.2062693598533112</v>
      </c>
      <c r="H26" s="157">
        <f>BP_App_B1!I43/$C$7</f>
        <v>1.3319101022302922</v>
      </c>
      <c r="I26" s="157">
        <f>BP_App_B1!J43/$C$7</f>
        <v>1.5028462905484667</v>
      </c>
      <c r="J26" s="158">
        <f>BP_App_B1!K43/$C$7</f>
        <v>1.5100393147974425</v>
      </c>
    </row>
    <row r="27" spans="2:10" ht="12.75">
      <c r="B27" s="128" t="s">
        <v>507</v>
      </c>
      <c r="C27" s="159" t="s">
        <v>508</v>
      </c>
      <c r="D27" s="160" t="s">
        <v>574</v>
      </c>
      <c r="E27" s="161"/>
      <c r="F27" s="162">
        <f>AP_App_C!G42/AP_App_E!$C$21</f>
        <v>1.0789054951365618</v>
      </c>
      <c r="G27" s="162">
        <f>AP_App_C!H42/AP_App_E!$C$21</f>
        <v>1.2744479100476949</v>
      </c>
      <c r="H27" s="162">
        <f>AP_App_C!I42/AP_App_E!$C$21</f>
        <v>1.4124925288131187</v>
      </c>
      <c r="I27" s="162">
        <f>AP_App_C!J42/AP_App_E!$C$21</f>
        <v>1.583147786393836</v>
      </c>
      <c r="J27" s="163">
        <f>AP_App_C!K42/AP_App_E!$C$21</f>
        <v>1.5984366008871191</v>
      </c>
    </row>
    <row r="28" spans="2:12" ht="6.75" customHeight="1">
      <c r="B28" s="146"/>
      <c r="C28" s="165"/>
      <c r="D28" s="166"/>
      <c r="E28" s="167"/>
      <c r="F28" s="168"/>
      <c r="G28" s="168"/>
      <c r="H28" s="168"/>
      <c r="I28" s="168"/>
      <c r="J28" s="168"/>
      <c r="K28" s="169"/>
      <c r="L28" s="169"/>
    </row>
    <row r="29" spans="2:12" ht="15">
      <c r="B29" s="175" t="s">
        <v>575</v>
      </c>
      <c r="C29" s="176"/>
      <c r="D29" s="177"/>
      <c r="E29" s="178"/>
      <c r="F29" s="179" t="s">
        <v>187</v>
      </c>
      <c r="G29" s="179" t="s">
        <v>271</v>
      </c>
      <c r="H29" s="180" t="s">
        <v>272</v>
      </c>
      <c r="J29" s="168"/>
      <c r="K29" s="169"/>
      <c r="L29" s="169"/>
    </row>
    <row r="30" spans="2:15" ht="12.75">
      <c r="B30" s="181" t="s">
        <v>273</v>
      </c>
      <c r="C30" s="170"/>
      <c r="D30" s="171"/>
      <c r="E30" s="172"/>
      <c r="F30" s="173">
        <f>D12</f>
        <v>590.7499576466797</v>
      </c>
      <c r="G30" s="174">
        <v>0.5</v>
      </c>
      <c r="H30" s="182">
        <f>F30*G30</f>
        <v>295.37497882333986</v>
      </c>
      <c r="I30" s="168"/>
      <c r="J30" s="168"/>
      <c r="K30" s="169"/>
      <c r="L30" s="169"/>
      <c r="M30" s="169"/>
      <c r="N30" s="169"/>
      <c r="O30" s="169"/>
    </row>
    <row r="31" spans="2:15" ht="14.25">
      <c r="B31" s="181" t="s">
        <v>325</v>
      </c>
      <c r="C31" s="170"/>
      <c r="D31" s="171"/>
      <c r="E31" s="172"/>
      <c r="F31" s="173">
        <f>AP_App_F!G19</f>
        <v>427.1879021089106</v>
      </c>
      <c r="G31" s="174">
        <v>0.25</v>
      </c>
      <c r="H31" s="182">
        <f>F31*G31</f>
        <v>106.79697552722764</v>
      </c>
      <c r="I31" s="168"/>
      <c r="J31" s="168"/>
      <c r="K31" s="169"/>
      <c r="L31" s="169"/>
      <c r="M31" s="169"/>
      <c r="N31" s="169"/>
      <c r="O31" s="169"/>
    </row>
    <row r="32" spans="2:9" ht="14.25">
      <c r="B32" s="181" t="s">
        <v>326</v>
      </c>
      <c r="C32" s="170"/>
      <c r="D32" s="172"/>
      <c r="E32" s="172"/>
      <c r="F32" s="173">
        <f>AP_App_F!C19</f>
        <v>412.56656639999994</v>
      </c>
      <c r="G32" s="174">
        <v>0.25</v>
      </c>
      <c r="H32" s="182">
        <f>F32*G32</f>
        <v>103.14164159999999</v>
      </c>
      <c r="I32" s="132"/>
    </row>
    <row r="33" spans="2:9" ht="12.75">
      <c r="B33" s="183"/>
      <c r="C33" s="184" t="s">
        <v>270</v>
      </c>
      <c r="D33" s="185"/>
      <c r="E33" s="185"/>
      <c r="F33" s="185"/>
      <c r="G33" s="185"/>
      <c r="H33" s="186">
        <f>SUM(H30:H32)</f>
        <v>505.31359595056745</v>
      </c>
      <c r="I33" s="132"/>
    </row>
    <row r="34" spans="1:9" ht="6.75" customHeight="1">
      <c r="A34" s="169"/>
      <c r="B34" s="146"/>
      <c r="C34" s="146"/>
      <c r="D34" s="167"/>
      <c r="E34" s="167"/>
      <c r="F34" s="167"/>
      <c r="G34" s="167"/>
      <c r="H34" s="189"/>
      <c r="I34" s="190"/>
    </row>
    <row r="35" spans="3:12" ht="14.25">
      <c r="C35" s="131"/>
      <c r="D35" s="209" t="s">
        <v>321</v>
      </c>
      <c r="E35" s="220"/>
      <c r="F35" s="209" t="s">
        <v>308</v>
      </c>
      <c r="G35" s="192"/>
      <c r="H35" s="451" t="s">
        <v>518</v>
      </c>
      <c r="I35" s="452"/>
      <c r="J35" s="452"/>
      <c r="K35" s="452"/>
      <c r="L35" s="453"/>
    </row>
    <row r="36" spans="3:12" ht="12.75">
      <c r="C36" s="130"/>
      <c r="D36" s="210" t="s">
        <v>309</v>
      </c>
      <c r="E36" s="221"/>
      <c r="F36" s="210" t="s">
        <v>309</v>
      </c>
      <c r="G36" s="193" t="s">
        <v>301</v>
      </c>
      <c r="H36" s="397">
        <v>2006</v>
      </c>
      <c r="I36" s="398">
        <v>2007</v>
      </c>
      <c r="J36" s="398">
        <v>2008</v>
      </c>
      <c r="K36" s="398">
        <v>2009</v>
      </c>
      <c r="L36" s="399">
        <v>2010</v>
      </c>
    </row>
    <row r="37" spans="3:12" ht="12.75">
      <c r="C37" s="136"/>
      <c r="D37" s="194" t="s">
        <v>322</v>
      </c>
      <c r="E37" s="222"/>
      <c r="F37" s="194" t="s">
        <v>310</v>
      </c>
      <c r="G37" s="194" t="s">
        <v>303</v>
      </c>
      <c r="H37" s="400"/>
      <c r="I37" s="401"/>
      <c r="J37" s="401"/>
      <c r="K37" s="401"/>
      <c r="L37" s="402"/>
    </row>
    <row r="38" spans="3:12" ht="12.75">
      <c r="C38" s="136"/>
      <c r="D38" s="217">
        <f>F38/$C$6</f>
        <v>20.030462975117107</v>
      </c>
      <c r="E38" s="223"/>
      <c r="F38" s="212">
        <f>$C$13+G38*$H$12</f>
        <v>382.5818428247368</v>
      </c>
      <c r="G38" s="395">
        <v>0.3</v>
      </c>
      <c r="H38" s="403">
        <f>F27</f>
        <v>1.0789054951365618</v>
      </c>
      <c r="I38" s="404">
        <f>G27</f>
        <v>1.2744479100476949</v>
      </c>
      <c r="J38" s="404">
        <f>H27</f>
        <v>1.4124925288131187</v>
      </c>
      <c r="K38" s="404">
        <f>I27</f>
        <v>1.583147786393836</v>
      </c>
      <c r="L38" s="405">
        <f>J27</f>
        <v>1.5984366008871191</v>
      </c>
    </row>
    <row r="39" spans="1:12" ht="14.25">
      <c r="A39" t="s">
        <v>262</v>
      </c>
      <c r="B39" s="135"/>
      <c r="C39" s="136"/>
      <c r="D39" s="218">
        <f>F39/$C$6</f>
        <v>21.95728396682281</v>
      </c>
      <c r="E39" s="224"/>
      <c r="F39" s="417">
        <f>$C$13+G39*$H$12</f>
        <v>419.3841237663157</v>
      </c>
      <c r="G39" s="395">
        <v>0.4</v>
      </c>
      <c r="H39" s="406">
        <f>(AP_App_C!G42)/($C$7+($C$6*($D$39/$C$3)))</f>
        <v>1.0734273930318876</v>
      </c>
      <c r="I39" s="407">
        <f>(AP_App_C!H42)/($C$7+($C$6*($D$39/$C$3)))</f>
        <v>1.2679769486800856</v>
      </c>
      <c r="J39" s="407">
        <f>(AP_App_C!I42)/($C$7+($C$6*($D$39/$C$3)))</f>
        <v>1.4053206510816512</v>
      </c>
      <c r="K39" s="407">
        <f>(AP_App_C!J42)/($C$7+($C$6*($D$39/$C$3)))</f>
        <v>1.575109413005482</v>
      </c>
      <c r="L39" s="408">
        <f>(AP_App_C!K42)/($C$7+($C$6*($D$39/$C$3)))</f>
        <v>1.5903205991177523</v>
      </c>
    </row>
    <row r="40" spans="1:12" ht="12.75">
      <c r="A40" s="441" t="s">
        <v>620</v>
      </c>
      <c r="B40" s="441"/>
      <c r="C40" s="444"/>
      <c r="D40" s="218">
        <f>F40/$C$6</f>
        <v>23.88410495852851</v>
      </c>
      <c r="E40" s="224"/>
      <c r="F40" s="417">
        <f>$C$13+G40*$H$12</f>
        <v>456.1864047078946</v>
      </c>
      <c r="G40" s="395">
        <v>0.5</v>
      </c>
      <c r="H40" s="406">
        <f>(AP_App_C!G42)/($C$7+($C$6*($D$40/$C$3)))</f>
        <v>1.0680046396114715</v>
      </c>
      <c r="I40" s="407">
        <f>(AP_App_C!H42)/($C$7+($C$6*($D$40/$C$3)))</f>
        <v>1.2615713674734772</v>
      </c>
      <c r="J40" s="407">
        <f>(AP_App_C!I42)/($C$7+($C$6*($D$40/$C$3)))</f>
        <v>1.3982212353066263</v>
      </c>
      <c r="K40" s="407">
        <f>(AP_App_C!J42)/($C$7+($C$6*($D$40/$C$3)))</f>
        <v>1.5671522563199423</v>
      </c>
      <c r="L40" s="408">
        <f>(AP_App_C!K42)/($C$7+($C$6*($D$40/$C$3)))</f>
        <v>1.582286598379178</v>
      </c>
    </row>
    <row r="41" spans="1:12" ht="14.25">
      <c r="A41" t="s">
        <v>328</v>
      </c>
      <c r="B41" s="135"/>
      <c r="C41" s="136"/>
      <c r="D41" s="218">
        <f>F41/$C$6</f>
        <v>25.810925950234214</v>
      </c>
      <c r="E41" s="224"/>
      <c r="F41" s="417">
        <f>$C$13+G41*$H$12</f>
        <v>492.9886856494735</v>
      </c>
      <c r="G41" s="395">
        <v>0.6</v>
      </c>
      <c r="H41" s="406">
        <f>(AP_App_C!G42)/($C$7+($C$6*($D$41/$C$3)))</f>
        <v>1.062636400258195</v>
      </c>
      <c r="I41" s="407">
        <f>(AP_App_C!H42)/($C$7+($C$6*($D$41/$C$3)))</f>
        <v>1.25523018054352</v>
      </c>
      <c r="J41" s="407">
        <f>(AP_App_C!I42)/($C$7+($C$6*($D$41/$C$3)))</f>
        <v>1.3911931888154703</v>
      </c>
      <c r="K41" s="407">
        <f>(AP_App_C!J42)/($C$7+($C$6*($D$41/$C$3)))</f>
        <v>1.5592750916495592</v>
      </c>
      <c r="L41" s="408">
        <f>(AP_App_C!K42)/($C$7+($C$6*($D$41/$C$3)))</f>
        <v>1.5743333621566544</v>
      </c>
    </row>
    <row r="42" spans="1:12" ht="12.75">
      <c r="A42" t="s">
        <v>327</v>
      </c>
      <c r="D42" s="219">
        <f>F42/$C$6</f>
        <v>27.737746941939918</v>
      </c>
      <c r="E42" s="225"/>
      <c r="F42" s="418">
        <f>$C$13+G42*$H$12</f>
        <v>529.7909665910524</v>
      </c>
      <c r="G42" s="396">
        <v>0.7</v>
      </c>
      <c r="H42" s="409">
        <f>(AP_App_C!G42)/($C$7+($C$6*($D$42/$C$3)))</f>
        <v>1.0573218570515583</v>
      </c>
      <c r="I42" s="410">
        <f>(AP_App_C!H42)/($C$7+($C$6*($D$42/$C$3)))</f>
        <v>1.2489524217286028</v>
      </c>
      <c r="J42" s="410">
        <f>(AP_App_C!I42)/($C$7+($C$6*($D$42/$C$3)))</f>
        <v>1.3842354407946589</v>
      </c>
      <c r="K42" s="410">
        <f>(AP_App_C!J42)/($C$7+($C$6*($D$42/$C$3)))</f>
        <v>1.5514767188067031</v>
      </c>
      <c r="L42" s="411">
        <f>(AP_App_C!K42)/($C$7+($C$6*($D$42/$C$3)))</f>
        <v>1.5664596786720701</v>
      </c>
    </row>
    <row r="43" ht="12.75">
      <c r="A43" t="s">
        <v>544</v>
      </c>
    </row>
    <row r="44" ht="12.75">
      <c r="A44" t="s">
        <v>519</v>
      </c>
    </row>
    <row r="45" ht="12.75">
      <c r="A45" t="s">
        <v>520</v>
      </c>
    </row>
  </sheetData>
  <sheetProtection/>
  <mergeCells count="5">
    <mergeCell ref="A40:C40"/>
    <mergeCell ref="F10:G10"/>
    <mergeCell ref="C10:D10"/>
    <mergeCell ref="B1:J1"/>
    <mergeCell ref="H35:L35"/>
  </mergeCells>
  <printOptions/>
  <pageMargins left="0.75" right="0.75" top="1.34" bottom="0.48" header="0.91" footer="0.26"/>
  <pageSetup horizontalDpi="300" verticalDpi="300" orientation="landscape" scale="80" r:id="rId1"/>
  <headerFooter alignWithMargins="0">
    <oddHeader>&amp;C&amp;"Arial,Bold"&amp;14Acquisition Plan - JAKKS
Initial Offer Price Determination&amp;"Arial,Regular"&amp;10
&amp;R&amp;UAppendix E</oddHeader>
    <oddFooter>&amp;LAcquisition Plan JAKKS&amp;R&amp;D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G20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10.57421875" style="0" customWidth="1"/>
    <col min="2" max="2" width="21.7109375" style="0" customWidth="1"/>
    <col min="3" max="3" width="11.8515625" style="0" customWidth="1"/>
    <col min="4" max="4" width="3.421875" style="0" customWidth="1"/>
    <col min="5" max="5" width="12.421875" style="0" customWidth="1"/>
    <col min="6" max="6" width="19.7109375" style="0" customWidth="1"/>
  </cols>
  <sheetData>
    <row r="2" spans="2:6" ht="12.75">
      <c r="B2" s="438" t="s">
        <v>441</v>
      </c>
      <c r="C2" s="439"/>
      <c r="D2" s="439"/>
      <c r="E2" s="439"/>
      <c r="F2" s="439"/>
    </row>
    <row r="3" spans="2:6" ht="13.5" thickBot="1">
      <c r="B3" s="3"/>
      <c r="C3" s="3"/>
      <c r="D3" s="3"/>
      <c r="E3" s="3"/>
      <c r="F3" s="3"/>
    </row>
    <row r="4" spans="1:7" ht="12.75">
      <c r="A4" s="454" t="s">
        <v>621</v>
      </c>
      <c r="B4" s="455"/>
      <c r="C4" s="97"/>
      <c r="D4" s="80"/>
      <c r="E4" s="454" t="s">
        <v>621</v>
      </c>
      <c r="F4" s="455"/>
      <c r="G4" s="456"/>
    </row>
    <row r="5" spans="1:7" ht="12.75">
      <c r="A5" s="111" t="s">
        <v>189</v>
      </c>
      <c r="B5" s="99"/>
      <c r="C5" s="100"/>
      <c r="D5" s="80"/>
      <c r="E5" s="111" t="s">
        <v>199</v>
      </c>
      <c r="F5" s="99"/>
      <c r="G5" s="100"/>
    </row>
    <row r="6" spans="1:7" ht="12.75">
      <c r="A6" s="98"/>
      <c r="B6" s="99"/>
      <c r="C6" s="108"/>
      <c r="D6" s="80"/>
      <c r="E6" s="98"/>
      <c r="F6" s="99"/>
      <c r="G6" s="108"/>
    </row>
    <row r="7" spans="1:7" ht="12.75">
      <c r="A7" s="112" t="s">
        <v>200</v>
      </c>
      <c r="B7" s="99"/>
      <c r="C7" s="109" t="s">
        <v>190</v>
      </c>
      <c r="D7" s="80"/>
      <c r="E7" s="112" t="s">
        <v>200</v>
      </c>
      <c r="F7" s="99"/>
      <c r="G7" s="109" t="s">
        <v>174</v>
      </c>
    </row>
    <row r="8" spans="1:7" ht="12.75">
      <c r="A8" s="98" t="s">
        <v>509</v>
      </c>
      <c r="B8" s="99"/>
      <c r="C8" s="101">
        <v>1.3</v>
      </c>
      <c r="D8" s="102"/>
      <c r="E8" s="98" t="s">
        <v>509</v>
      </c>
      <c r="F8" s="99"/>
      <c r="G8" s="101">
        <v>14.6</v>
      </c>
    </row>
    <row r="9" spans="1:7" ht="12.75">
      <c r="A9" s="98" t="s">
        <v>510</v>
      </c>
      <c r="B9" s="99"/>
      <c r="C9" s="101">
        <v>1.5</v>
      </c>
      <c r="D9" s="102"/>
      <c r="E9" s="98" t="s">
        <v>510</v>
      </c>
      <c r="F9" s="99"/>
      <c r="G9" s="101">
        <v>11</v>
      </c>
    </row>
    <row r="10" spans="1:7" ht="12.75">
      <c r="A10" s="98" t="s">
        <v>511</v>
      </c>
      <c r="B10" s="99"/>
      <c r="C10" s="101">
        <v>1.41</v>
      </c>
      <c r="D10" s="102"/>
      <c r="E10" s="98" t="s">
        <v>511</v>
      </c>
      <c r="F10" s="99"/>
      <c r="G10" s="101">
        <v>12</v>
      </c>
    </row>
    <row r="11" spans="1:7" ht="12.75">
      <c r="A11" s="98" t="s">
        <v>512</v>
      </c>
      <c r="B11" s="99"/>
      <c r="C11" s="101">
        <v>1.5</v>
      </c>
      <c r="D11" s="102"/>
      <c r="E11" s="98" t="s">
        <v>512</v>
      </c>
      <c r="F11" s="99"/>
      <c r="G11" s="101">
        <v>10</v>
      </c>
    </row>
    <row r="12" spans="1:7" ht="12.75">
      <c r="A12" s="98" t="s">
        <v>513</v>
      </c>
      <c r="B12" s="60"/>
      <c r="C12" s="110">
        <v>1.4</v>
      </c>
      <c r="D12" s="102"/>
      <c r="E12" s="98" t="s">
        <v>513</v>
      </c>
      <c r="F12" s="99"/>
      <c r="G12" s="101">
        <v>11</v>
      </c>
    </row>
    <row r="13" spans="1:7" ht="12.75">
      <c r="A13" s="98"/>
      <c r="B13" s="99" t="s">
        <v>188</v>
      </c>
      <c r="C13" s="101">
        <f>SUM(C8:C12)</f>
        <v>7.109999999999999</v>
      </c>
      <c r="D13" s="102"/>
      <c r="E13" s="98"/>
      <c r="F13" s="99" t="s">
        <v>188</v>
      </c>
      <c r="G13" s="101">
        <f>SUM(G8:G12)</f>
        <v>58.6</v>
      </c>
    </row>
    <row r="14" spans="1:7" ht="12.75">
      <c r="A14" s="98"/>
      <c r="B14" s="99"/>
      <c r="C14" s="101"/>
      <c r="D14" s="102"/>
      <c r="E14" s="103"/>
      <c r="F14" s="60"/>
      <c r="G14" s="108"/>
    </row>
    <row r="15" spans="1:7" ht="12.75">
      <c r="A15" s="98"/>
      <c r="B15" s="99" t="s">
        <v>191</v>
      </c>
      <c r="C15" s="101">
        <f>C13/5</f>
        <v>1.422</v>
      </c>
      <c r="D15" s="80"/>
      <c r="E15" s="98"/>
      <c r="F15" s="99" t="s">
        <v>191</v>
      </c>
      <c r="G15" s="101">
        <f>G13/5</f>
        <v>11.72</v>
      </c>
    </row>
    <row r="16" spans="1:7" ht="12.75">
      <c r="A16" s="98"/>
      <c r="B16" s="99"/>
      <c r="C16" s="100"/>
      <c r="D16" s="80"/>
      <c r="E16" s="98"/>
      <c r="F16" s="99"/>
      <c r="G16" s="100"/>
    </row>
    <row r="17" spans="1:7" ht="12.75">
      <c r="A17" s="98" t="s">
        <v>514</v>
      </c>
      <c r="B17" s="60"/>
      <c r="C17" s="101">
        <f>AP_App_B1!G27</f>
        <v>290.1312</v>
      </c>
      <c r="D17" s="80"/>
      <c r="E17" s="98" t="s">
        <v>515</v>
      </c>
      <c r="F17" s="99"/>
      <c r="G17" s="101">
        <f>AP_App_B1!G44</f>
        <v>36.44947970212547</v>
      </c>
    </row>
    <row r="18" spans="1:7" ht="12.75">
      <c r="A18" s="103"/>
      <c r="B18" s="60"/>
      <c r="C18" s="100"/>
      <c r="D18" s="80"/>
      <c r="E18" s="98"/>
      <c r="F18" s="99"/>
      <c r="G18" s="100"/>
    </row>
    <row r="19" spans="1:7" ht="13.5" thickBot="1">
      <c r="A19" s="104" t="s">
        <v>516</v>
      </c>
      <c r="B19" s="105"/>
      <c r="C19" s="106">
        <f>C17*C15</f>
        <v>412.56656639999994</v>
      </c>
      <c r="D19" s="80"/>
      <c r="E19" s="104" t="s">
        <v>516</v>
      </c>
      <c r="F19" s="107"/>
      <c r="G19" s="106">
        <f>G17*G15</f>
        <v>427.1879021089106</v>
      </c>
    </row>
    <row r="20" ht="12.75">
      <c r="D20" s="80"/>
    </row>
  </sheetData>
  <sheetProtection/>
  <mergeCells count="3">
    <mergeCell ref="B2:F2"/>
    <mergeCell ref="A4:B4"/>
    <mergeCell ref="E4:G4"/>
  </mergeCells>
  <printOptions horizontalCentered="1"/>
  <pageMargins left="0.75" right="0.75" top="2.42" bottom="1" header="1.7" footer="0.5"/>
  <pageSetup horizontalDpi="600" verticalDpi="600" orientation="landscape" r:id="rId1"/>
  <headerFooter alignWithMargins="0">
    <oddHeader>&amp;C&amp;"Arial,Bold"&amp;14Acquisition Plan - JAKKS
Relative Valuations Summary&amp;R&amp;UAppendix F</oddHeader>
    <oddFooter>&amp;LAcquisition Plan JAKKS&amp;R&amp;D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32.7109375" style="0" customWidth="1"/>
    <col min="10" max="10" width="24.140625" style="0" customWidth="1"/>
    <col min="11" max="11" width="10.28125" style="0" bestFit="1" customWidth="1"/>
  </cols>
  <sheetData>
    <row r="1" spans="1:10" ht="12.75">
      <c r="A1" s="438" t="s">
        <v>483</v>
      </c>
      <c r="B1" s="439"/>
      <c r="C1" s="439"/>
      <c r="D1" s="439"/>
      <c r="E1" s="439"/>
      <c r="F1" s="439"/>
      <c r="G1" s="439"/>
      <c r="H1" s="439"/>
      <c r="I1" s="439"/>
      <c r="J1" s="439"/>
    </row>
    <row r="2" spans="2:6" ht="12.75">
      <c r="B2" s="457" t="s">
        <v>30</v>
      </c>
      <c r="C2" s="457"/>
      <c r="D2" s="457"/>
      <c r="E2" s="457"/>
      <c r="F2" s="457"/>
    </row>
    <row r="3" spans="2:12" ht="12.75">
      <c r="B3" s="187">
        <v>2006</v>
      </c>
      <c r="C3" s="187">
        <v>2007</v>
      </c>
      <c r="D3" s="187">
        <v>2008</v>
      </c>
      <c r="E3" s="187">
        <v>2009</v>
      </c>
      <c r="F3" s="187">
        <v>2010</v>
      </c>
      <c r="G3" s="458" t="s">
        <v>274</v>
      </c>
      <c r="H3" s="458"/>
      <c r="I3" s="458"/>
      <c r="J3" s="458"/>
      <c r="K3" s="458"/>
      <c r="L3" s="131"/>
    </row>
    <row r="4" spans="1:11" ht="12.75">
      <c r="A4" s="1" t="s">
        <v>275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6" ht="12.75">
      <c r="A5" t="s">
        <v>276</v>
      </c>
      <c r="B5" s="5">
        <f>AP_App_C!G19</f>
        <v>5146.8272</v>
      </c>
      <c r="C5" s="5">
        <f>AP_App_C!H19</f>
        <v>5384.6147200000005</v>
      </c>
      <c r="D5" s="5">
        <f>AP_App_C!I19</f>
        <v>5620.0183616</v>
      </c>
      <c r="E5" s="5">
        <f>AP_App_C!J19</f>
        <v>5859.499734784002</v>
      </c>
      <c r="F5" s="5">
        <f>AP_App_C!K19</f>
        <v>6097.843496629762</v>
      </c>
    </row>
    <row r="6" spans="1:6" ht="12.75">
      <c r="A6" t="s">
        <v>277</v>
      </c>
      <c r="B6" s="5">
        <f>AP_App_C!G26</f>
        <v>2720.5681324000006</v>
      </c>
      <c r="C6" s="5">
        <f>AP_App_C!H26</f>
        <v>2789.6609529600005</v>
      </c>
      <c r="D6" s="5">
        <f>AP_App_C!I26</f>
        <v>2883.630721696</v>
      </c>
      <c r="E6" s="5">
        <f>AP_App_C!J26</f>
        <v>2980.9463181555207</v>
      </c>
      <c r="F6" s="5">
        <f>AP_App_C!K26</f>
        <v>3102.593615492109</v>
      </c>
    </row>
    <row r="7" spans="1:6" ht="12.75">
      <c r="A7" t="s">
        <v>35</v>
      </c>
      <c r="B7" s="5">
        <f>B5-B6</f>
        <v>2426.259067599999</v>
      </c>
      <c r="C7" s="5">
        <f>C5-C6</f>
        <v>2594.95376704</v>
      </c>
      <c r="D7" s="5">
        <f>D5-D6</f>
        <v>2736.3876399040005</v>
      </c>
      <c r="E7" s="5">
        <f>E5-E6</f>
        <v>2878.553416628481</v>
      </c>
      <c r="F7" s="5">
        <f>F5-F6</f>
        <v>2995.2498811376527</v>
      </c>
    </row>
    <row r="8" spans="1:11" ht="12.75">
      <c r="A8" t="s">
        <v>278</v>
      </c>
      <c r="B8" s="5">
        <f>AP_App_C!G36-AP_App_C!G33</f>
        <v>1729.501114</v>
      </c>
      <c r="C8" s="5">
        <f>AP_App_C!H36-AP_App_C!H33</f>
        <v>1778.8330768</v>
      </c>
      <c r="D8" s="5">
        <f>AP_App_C!I36-AP_App_C!I33</f>
        <v>1827.615424608</v>
      </c>
      <c r="E8" s="5">
        <f>AP_App_C!J36-AP_App_C!J33</f>
        <v>1860.7436075450883</v>
      </c>
      <c r="F8" s="5">
        <f>AP_App_C!K36-AP_App_C!K33</f>
        <v>1890.3301105197802</v>
      </c>
      <c r="G8" s="92"/>
      <c r="H8" s="92"/>
      <c r="I8" s="92"/>
      <c r="J8" s="92"/>
      <c r="K8" s="92"/>
    </row>
    <row r="9" spans="1:11" ht="12.75">
      <c r="A9" t="s">
        <v>183</v>
      </c>
      <c r="B9" s="5">
        <f>-AP_App_C!G33</f>
        <v>-1.13875</v>
      </c>
      <c r="C9" s="5">
        <f>-AP_App_C!H33</f>
        <v>0</v>
      </c>
      <c r="D9" s="5">
        <f>-AP_App_C!I33</f>
        <v>0</v>
      </c>
      <c r="E9" s="5">
        <f>-AP_App_C!J33</f>
        <v>0</v>
      </c>
      <c r="F9" s="5">
        <f>-AP_App_C!K33</f>
        <v>0</v>
      </c>
      <c r="G9" s="92"/>
      <c r="H9" s="92"/>
      <c r="I9" s="92"/>
      <c r="J9" s="92"/>
      <c r="K9" s="92"/>
    </row>
    <row r="10" spans="1:6" ht="12.75">
      <c r="A10" t="s">
        <v>39</v>
      </c>
      <c r="B10" s="5">
        <f>B7-B8+B9</f>
        <v>695.6192035999992</v>
      </c>
      <c r="C10" s="5">
        <f>C7-C8+C9</f>
        <v>816.1206902399999</v>
      </c>
      <c r="D10" s="5">
        <f>D7-D8+D9</f>
        <v>908.7722152960005</v>
      </c>
      <c r="E10" s="5">
        <f>E7-E8+E9</f>
        <v>1017.8098090833928</v>
      </c>
      <c r="F10" s="5">
        <f>F7-F8+F9</f>
        <v>1104.9197706178725</v>
      </c>
    </row>
    <row r="11" spans="1:6" ht="12.75">
      <c r="A11" t="s">
        <v>40</v>
      </c>
      <c r="B11" s="5">
        <f>AP_App_C!G38</f>
        <v>28.82385553482136</v>
      </c>
      <c r="C11" s="5">
        <f>AP_App_C!H38</f>
        <v>48.306262548560824</v>
      </c>
      <c r="D11" s="5">
        <f>AP_App_C!I38</f>
        <v>57.72987721889233</v>
      </c>
      <c r="E11" s="5">
        <f>AP_App_C!J38</f>
        <v>87.22644752445237</v>
      </c>
      <c r="F11" s="5">
        <f>AP_App_C!K38</f>
        <v>112.74347230358804</v>
      </c>
    </row>
    <row r="12" spans="1:11" ht="12.75">
      <c r="A12" t="s">
        <v>279</v>
      </c>
      <c r="B12" s="5">
        <f>AP_App_C!G39</f>
        <v>126.9636191525166</v>
      </c>
      <c r="C12" s="5">
        <f>AP_App_C!H39</f>
        <v>128.54710334716663</v>
      </c>
      <c r="D12" s="5">
        <f>AP_App_C!I39</f>
        <v>121.50996946905028</v>
      </c>
      <c r="E12" s="5">
        <f>AP_App_C!J39</f>
        <v>95.80170326686411</v>
      </c>
      <c r="F12" s="5">
        <f>AP_App_C!K39</f>
        <v>96.1031478928</v>
      </c>
      <c r="G12" s="441"/>
      <c r="H12" s="441"/>
      <c r="I12" s="441"/>
      <c r="J12" s="441"/>
      <c r="K12" s="441"/>
    </row>
    <row r="13" spans="1:6" ht="12.75">
      <c r="A13" t="s">
        <v>42</v>
      </c>
      <c r="B13" s="5">
        <f>B10+B11-B12</f>
        <v>597.479439982304</v>
      </c>
      <c r="C13" s="5">
        <f>C10+C11-C12</f>
        <v>735.8798494413942</v>
      </c>
      <c r="D13" s="5">
        <f>D10+D11-D12</f>
        <v>844.9921230458425</v>
      </c>
      <c r="E13" s="5">
        <f>E10+E11-E12</f>
        <v>1009.234553340981</v>
      </c>
      <c r="F13" s="5">
        <f>F10+F11-F12</f>
        <v>1121.5600950286605</v>
      </c>
    </row>
    <row r="14" spans="1:6" ht="12.75">
      <c r="A14" t="s">
        <v>43</v>
      </c>
      <c r="B14" s="5">
        <f>AP_App_C!G41</f>
        <v>112.11587668587647</v>
      </c>
      <c r="C14" s="5">
        <f>AP_App_C!H41</f>
        <v>162.54828180660448</v>
      </c>
      <c r="D14" s="5">
        <f>AP_App_C!I41</f>
        <v>209.5588900104124</v>
      </c>
      <c r="E14" s="5">
        <f>AP_App_C!J41</f>
        <v>297.02921719918726</v>
      </c>
      <c r="F14" s="5">
        <f>AP_App_C!K41</f>
        <v>402.47683165923786</v>
      </c>
    </row>
    <row r="15" spans="1:6" ht="12.75">
      <c r="A15" t="s">
        <v>44</v>
      </c>
      <c r="B15" s="5">
        <f>B13-B14</f>
        <v>485.36356329642757</v>
      </c>
      <c r="C15" s="5">
        <f>C13-C14</f>
        <v>573.3315676347897</v>
      </c>
      <c r="D15" s="5">
        <f>D13-D14</f>
        <v>635.4332330354301</v>
      </c>
      <c r="E15" s="5">
        <f>E13-E14</f>
        <v>712.2053361417939</v>
      </c>
      <c r="F15" s="5">
        <f>F13-F14</f>
        <v>719.0832633694226</v>
      </c>
    </row>
    <row r="16" spans="1:11" ht="12.75">
      <c r="A16" t="s">
        <v>280</v>
      </c>
      <c r="B16" s="41">
        <f>B15/AP_App_E!$C$21</f>
        <v>1.0789054951365622</v>
      </c>
      <c r="C16" s="41">
        <f>C15/AP_App_E!$C$21</f>
        <v>1.2744479100476949</v>
      </c>
      <c r="D16" s="41">
        <f>D15/AP_App_E!$C$21</f>
        <v>1.4124925288131187</v>
      </c>
      <c r="E16" s="41">
        <f>E15/AP_App_E!$C$21</f>
        <v>1.583147786393836</v>
      </c>
      <c r="F16" s="41">
        <f>F15/AP_App_E!$C$21</f>
        <v>1.5984366008871191</v>
      </c>
      <c r="G16" s="136" t="s">
        <v>517</v>
      </c>
      <c r="H16" s="136"/>
      <c r="I16" s="136"/>
      <c r="J16" s="136"/>
      <c r="K16" s="136"/>
    </row>
    <row r="17" spans="1:11" ht="12.75">
      <c r="A17" t="s">
        <v>281</v>
      </c>
      <c r="G17" s="441" t="s">
        <v>545</v>
      </c>
      <c r="H17" s="441"/>
      <c r="I17" s="441"/>
      <c r="J17" s="441"/>
      <c r="K17" s="441"/>
    </row>
    <row r="18" spans="1:11" ht="12.75">
      <c r="A18" t="s">
        <v>46</v>
      </c>
      <c r="B18" s="38"/>
      <c r="C18" s="38"/>
      <c r="D18" s="38"/>
      <c r="E18" s="38"/>
      <c r="F18" s="38"/>
      <c r="G18" s="92"/>
      <c r="H18" s="92"/>
      <c r="I18" s="92"/>
      <c r="J18" s="92"/>
      <c r="K18" s="92"/>
    </row>
    <row r="19" spans="1:11" ht="12.75">
      <c r="A19" t="s">
        <v>282</v>
      </c>
      <c r="B19" s="5">
        <f>AP_App_C!G46+AP_App_C!G49</f>
        <v>582.463360696426</v>
      </c>
      <c r="C19" s="5">
        <f>AP_App_C!H46+AP_App_C!H49</f>
        <v>989.4865009712163</v>
      </c>
      <c r="D19" s="5">
        <f>AP_App_C!I46+AP_App_C!I49</f>
        <v>1198.3337943778474</v>
      </c>
      <c r="E19" s="5">
        <f>AP_App_C!J46+AP_App_C!J49</f>
        <v>1808.6402004890483</v>
      </c>
      <c r="F19" s="5">
        <f>AP_App_C!K46+AP_App_C!K49</f>
        <v>2339.855696071763</v>
      </c>
      <c r="G19" s="92"/>
      <c r="H19" s="92"/>
      <c r="I19" s="92"/>
      <c r="J19" s="92"/>
      <c r="K19" s="92"/>
    </row>
    <row r="20" spans="1:11" ht="12.75">
      <c r="A20" t="s">
        <v>283</v>
      </c>
      <c r="B20" s="5">
        <f>AP_App_C!G47</f>
        <v>1786.88296</v>
      </c>
      <c r="C20" s="5">
        <f>AP_App_C!H47</f>
        <v>1867.932608</v>
      </c>
      <c r="D20" s="5">
        <f>AP_App_C!I47</f>
        <v>1948.65562816</v>
      </c>
      <c r="E20" s="5">
        <f>AP_App_C!J47</f>
        <v>2031.0060449024004</v>
      </c>
      <c r="F20" s="5">
        <f>AP_App_C!K47</f>
        <v>2113.4354184348163</v>
      </c>
      <c r="G20" s="92"/>
      <c r="H20" s="92"/>
      <c r="I20" s="92"/>
      <c r="J20" s="92"/>
      <c r="K20" s="92"/>
    </row>
    <row r="21" spans="1:11" ht="12.75">
      <c r="A21" t="s">
        <v>284</v>
      </c>
      <c r="B21" s="5">
        <f>B19+B20</f>
        <v>2369.346320696426</v>
      </c>
      <c r="C21" s="5">
        <f>C19+C20</f>
        <v>2857.4191089712162</v>
      </c>
      <c r="D21" s="5">
        <f>D19+D20</f>
        <v>3146.9894225378475</v>
      </c>
      <c r="E21" s="5">
        <f>E19+E20</f>
        <v>3839.6462453914487</v>
      </c>
      <c r="F21" s="5">
        <f>F19+F20</f>
        <v>4453.291114506579</v>
      </c>
      <c r="G21" s="92"/>
      <c r="H21" s="92"/>
      <c r="I21" s="92"/>
      <c r="J21" s="92"/>
      <c r="K21" s="92"/>
    </row>
    <row r="22" spans="1:6" ht="12.75">
      <c r="A22" t="s">
        <v>285</v>
      </c>
      <c r="B22" s="5">
        <f>AP_App_C!G50</f>
        <v>1248.989744</v>
      </c>
      <c r="C22" s="5">
        <f>AP_App_C!H50</f>
        <v>1302.7790656000002</v>
      </c>
      <c r="D22" s="5">
        <f>AP_App_C!I50</f>
        <v>1357.2925145600002</v>
      </c>
      <c r="E22" s="5">
        <f>AP_App_C!J50</f>
        <v>1413.3458917888004</v>
      </c>
      <c r="F22" s="5">
        <f>AP_App_C!K50</f>
        <v>1470.3553801548803</v>
      </c>
    </row>
    <row r="23" spans="1:6" ht="12.75">
      <c r="A23" t="s">
        <v>286</v>
      </c>
      <c r="B23" s="5">
        <f>AP_App_C!G51</f>
        <v>587.9110164</v>
      </c>
      <c r="C23" s="5">
        <f>AP_App_C!H51</f>
        <v>696.72232664</v>
      </c>
      <c r="D23" s="5">
        <f>AP_App_C!I51</f>
        <v>810.1263179232</v>
      </c>
      <c r="E23" s="5">
        <f>AP_App_C!J51</f>
        <v>928.242636522368</v>
      </c>
      <c r="F23" s="5">
        <f>AP_App_C!K51</f>
        <v>1051.1311731349556</v>
      </c>
    </row>
    <row r="24" spans="1:6" ht="12.75">
      <c r="A24" t="s">
        <v>49</v>
      </c>
      <c r="B24" s="5">
        <f>B22-B23</f>
        <v>661.0787276</v>
      </c>
      <c r="C24" s="5">
        <f>C22-C23</f>
        <v>606.0567389600002</v>
      </c>
      <c r="D24" s="5">
        <f>D22-D23</f>
        <v>547.1661966368002</v>
      </c>
      <c r="E24" s="5">
        <f>E22-E23</f>
        <v>485.10325526643237</v>
      </c>
      <c r="F24" s="5">
        <f>F22-F23</f>
        <v>419.22420701992473</v>
      </c>
    </row>
    <row r="25" spans="1:6" ht="12.75">
      <c r="A25" t="s">
        <v>67</v>
      </c>
      <c r="B25" s="5">
        <f>AP_App_C!G53</f>
        <v>2009.8000000000002</v>
      </c>
      <c r="C25" s="5">
        <f>AP_App_C!H53</f>
        <v>2004.5000000000002</v>
      </c>
      <c r="D25" s="5">
        <f>AP_App_C!I53</f>
        <v>1999.2500000000002</v>
      </c>
      <c r="E25" s="5">
        <f>AP_App_C!J53</f>
        <v>1994.0500000000002</v>
      </c>
      <c r="F25" s="5">
        <f>AP_App_C!K53</f>
        <v>1988.8500000000001</v>
      </c>
    </row>
    <row r="26" spans="1:6" ht="12.75">
      <c r="A26" t="s">
        <v>50</v>
      </c>
      <c r="B26" s="5">
        <f>B21+B24+B25</f>
        <v>5040.225048296426</v>
      </c>
      <c r="C26" s="5">
        <f>C21+C24+C25</f>
        <v>5467.975847931217</v>
      </c>
      <c r="D26" s="5">
        <f>D21+D24+D25</f>
        <v>5693.405619174648</v>
      </c>
      <c r="E26" s="5">
        <f>E21+E24+E25</f>
        <v>6318.799500657881</v>
      </c>
      <c r="F26" s="5">
        <f>F21+F24+F25</f>
        <v>6861.365321526504</v>
      </c>
    </row>
    <row r="27" spans="1:11" ht="12.75">
      <c r="A27" t="s">
        <v>51</v>
      </c>
      <c r="B27" s="5">
        <f>AP_App_C!G55</f>
        <v>1529.5415999999998</v>
      </c>
      <c r="C27" s="5">
        <f>AP_App_C!H55</f>
        <v>1598.701872</v>
      </c>
      <c r="D27" s="5">
        <f>AP_App_C!I55</f>
        <v>1562.5946622080003</v>
      </c>
      <c r="E27" s="5">
        <f>AP_App_C!J55</f>
        <v>1519.5061585894405</v>
      </c>
      <c r="F27" s="5">
        <f>AP_App_C!K55</f>
        <v>1524.4608741574405</v>
      </c>
      <c r="G27" s="92"/>
      <c r="H27" s="92"/>
      <c r="I27" s="92"/>
      <c r="J27" s="92"/>
      <c r="K27" s="92"/>
    </row>
    <row r="28" spans="1:6" ht="12.75">
      <c r="A28" t="s">
        <v>287</v>
      </c>
      <c r="B28" s="5"/>
      <c r="C28" s="5"/>
      <c r="D28" s="5"/>
      <c r="E28" s="5"/>
      <c r="F28" s="5"/>
    </row>
    <row r="29" spans="1:11" ht="12.75">
      <c r="A29" t="s">
        <v>288</v>
      </c>
      <c r="B29" s="5">
        <f>AP_App_C!G57</f>
        <v>1243.796</v>
      </c>
      <c r="C29" s="5">
        <f>AP_App_C!H57</f>
        <v>1021.919</v>
      </c>
      <c r="D29" s="5">
        <f>AP_App_C!I57</f>
        <v>640.6700000000001</v>
      </c>
      <c r="E29" s="5">
        <f>AP_App_C!J57</f>
        <v>589.331</v>
      </c>
      <c r="F29" s="5">
        <f>AP_App_C!K57</f>
        <v>400</v>
      </c>
      <c r="I29" s="195"/>
      <c r="J29" s="207" t="s">
        <v>295</v>
      </c>
      <c r="K29" s="196"/>
    </row>
    <row r="30" spans="1:11" ht="12.75">
      <c r="A30" t="s">
        <v>289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136"/>
      <c r="H30" s="136"/>
      <c r="I30" s="197"/>
      <c r="J30" s="208" t="s">
        <v>296</v>
      </c>
      <c r="K30" s="198"/>
    </row>
    <row r="31" spans="1:11" ht="12.75">
      <c r="A31" t="s">
        <v>290</v>
      </c>
      <c r="B31" s="5">
        <f>B29+B30</f>
        <v>1243.796</v>
      </c>
      <c r="C31" s="5">
        <f>C29+C30</f>
        <v>1021.919</v>
      </c>
      <c r="D31" s="5">
        <f>D29+D30</f>
        <v>640.6700000000001</v>
      </c>
      <c r="E31" s="5">
        <f>E29+E30</f>
        <v>589.331</v>
      </c>
      <c r="F31" s="5">
        <f>F29+F30</f>
        <v>400</v>
      </c>
      <c r="I31" s="197" t="s">
        <v>305</v>
      </c>
      <c r="J31" s="199"/>
      <c r="K31" s="200">
        <f>AP_App_E!G12</f>
        <v>8475.495151607793</v>
      </c>
    </row>
    <row r="32" spans="1:11" ht="12.75">
      <c r="A32" t="s">
        <v>68</v>
      </c>
      <c r="B32" s="5">
        <f>AP_App_C!G59</f>
        <v>173.7944</v>
      </c>
      <c r="C32" s="5">
        <f>AP_App_C!H59</f>
        <v>180.93036</v>
      </c>
      <c r="D32" s="5">
        <f>AP_App_C!I59</f>
        <v>188.283108</v>
      </c>
      <c r="E32" s="5">
        <f>AP_App_C!J59</f>
        <v>195.89915696000003</v>
      </c>
      <c r="F32" s="5">
        <f>AP_App_C!K59</f>
        <v>203.75799889120003</v>
      </c>
      <c r="I32" s="197" t="s">
        <v>304</v>
      </c>
      <c r="J32" s="199"/>
      <c r="K32" s="201"/>
    </row>
    <row r="33" spans="1:11" ht="12.75">
      <c r="A33" t="s">
        <v>291</v>
      </c>
      <c r="B33" s="5">
        <f>AP_App_C!G61</f>
        <v>1979.783485</v>
      </c>
      <c r="C33" s="5">
        <f>AP_App_C!H61</f>
        <v>1979.783485</v>
      </c>
      <c r="D33" s="5">
        <f>AP_App_C!I61</f>
        <v>1979.783485</v>
      </c>
      <c r="E33" s="5">
        <f>AP_App_C!J61</f>
        <v>1979.783485</v>
      </c>
      <c r="F33" s="5">
        <f>AP_App_C!K61</f>
        <v>1979.783485</v>
      </c>
      <c r="I33" s="197" t="s">
        <v>468</v>
      </c>
      <c r="J33" s="199"/>
      <c r="K33" s="200">
        <f>AP_App_E!C12</f>
        <v>7516.722384545324</v>
      </c>
    </row>
    <row r="34" spans="1:11" ht="15">
      <c r="A34" t="s">
        <v>292</v>
      </c>
      <c r="B34" s="5">
        <f>AP_App_C!G62</f>
        <v>113.30956329642748</v>
      </c>
      <c r="C34" s="5">
        <f>AP_App_C!H62</f>
        <v>686.6411309312173</v>
      </c>
      <c r="D34" s="5">
        <f>AP_App_C!I62</f>
        <v>1322.0743639666475</v>
      </c>
      <c r="E34" s="5">
        <f>AP_App_C!J62</f>
        <v>2034.2797001084414</v>
      </c>
      <c r="F34" s="5">
        <f>AP_App_C!K62</f>
        <v>2753.362963477864</v>
      </c>
      <c r="I34" s="197" t="s">
        <v>469</v>
      </c>
      <c r="J34" s="199"/>
      <c r="K34" s="204">
        <f>AP_App_E!D12</f>
        <v>590.7499576466797</v>
      </c>
    </row>
    <row r="35" spans="1:11" ht="12.75">
      <c r="A35" t="s">
        <v>53</v>
      </c>
      <c r="B35" s="5">
        <f>B33+B34</f>
        <v>2093.0930482964272</v>
      </c>
      <c r="C35" s="5">
        <f>C33+C34</f>
        <v>2666.424615931217</v>
      </c>
      <c r="D35" s="5">
        <f>D33+D34</f>
        <v>3301.8578489666475</v>
      </c>
      <c r="E35" s="5">
        <f>E33+E34</f>
        <v>4014.0631851084413</v>
      </c>
      <c r="F35" s="5">
        <f>F33+F34</f>
        <v>4733.146448477864</v>
      </c>
      <c r="I35" s="197" t="s">
        <v>297</v>
      </c>
      <c r="J35" s="199"/>
      <c r="K35" s="200">
        <f>K33+K34</f>
        <v>8107.472342192003</v>
      </c>
    </row>
    <row r="36" spans="1:11" ht="12.75">
      <c r="A36" t="s">
        <v>293</v>
      </c>
      <c r="B36" s="5">
        <f>B31+B27+B35+B32</f>
        <v>5040.225048296427</v>
      </c>
      <c r="C36" s="5">
        <f>C31+C27+C35+C32</f>
        <v>5467.975847931217</v>
      </c>
      <c r="D36" s="5">
        <f>D31+D27+D35+D32</f>
        <v>5693.405619174648</v>
      </c>
      <c r="E36" s="5">
        <f>E31+E27+E35+E32</f>
        <v>6318.799500657882</v>
      </c>
      <c r="F36" s="5">
        <f>F31+F27+F35+F32</f>
        <v>6861.365321526505</v>
      </c>
      <c r="I36" s="197" t="s">
        <v>298</v>
      </c>
      <c r="J36" s="199"/>
      <c r="K36" s="205">
        <f>K31-(K33+K34)</f>
        <v>368.0228094157892</v>
      </c>
    </row>
    <row r="37" spans="1:11" ht="12.75">
      <c r="A37" s="145"/>
      <c r="B37" s="5">
        <f>B26-B36</f>
        <v>0</v>
      </c>
      <c r="C37" s="5">
        <f>C26-C36</f>
        <v>0</v>
      </c>
      <c r="D37" s="5">
        <f>D26-D36</f>
        <v>0</v>
      </c>
      <c r="E37" s="5">
        <f>E26-E36</f>
        <v>0</v>
      </c>
      <c r="F37" s="5">
        <f>F26-F36</f>
        <v>0</v>
      </c>
      <c r="I37" s="197" t="s">
        <v>299</v>
      </c>
      <c r="J37" s="199"/>
      <c r="K37" s="201"/>
    </row>
    <row r="38" spans="1:11" ht="12.75">
      <c r="A38" t="s">
        <v>294</v>
      </c>
      <c r="I38" s="197" t="s">
        <v>468</v>
      </c>
      <c r="J38" s="226">
        <f>AP_App_E!C23</f>
        <v>0.9469473518090894</v>
      </c>
      <c r="K38" s="200">
        <f>K36*AP_App_E!C23</f>
        <v>348.4982247816228</v>
      </c>
    </row>
    <row r="39" spans="1:11" ht="15">
      <c r="A39" t="s">
        <v>300</v>
      </c>
      <c r="B39" s="38">
        <f>B31/B35</f>
        <v>0.594238273837051</v>
      </c>
      <c r="C39" s="38">
        <f>C31/C35</f>
        <v>0.3832544126296655</v>
      </c>
      <c r="D39" s="38">
        <f>D31/D35</f>
        <v>0.19403318655904728</v>
      </c>
      <c r="E39" s="38">
        <f>E31/E35</f>
        <v>0.14681657283979177</v>
      </c>
      <c r="F39" s="38">
        <f>F31/F35</f>
        <v>0.08451037895280765</v>
      </c>
      <c r="G39" s="136"/>
      <c r="H39" s="136"/>
      <c r="I39" s="197" t="s">
        <v>469</v>
      </c>
      <c r="J39" s="226">
        <f>AP_App_E!C24</f>
        <v>0.0530526481909105</v>
      </c>
      <c r="K39" s="204">
        <f>K36*AP_App_E!C24</f>
        <v>19.524584634166366</v>
      </c>
    </row>
    <row r="40" spans="7:11" ht="14.25">
      <c r="G40" s="135"/>
      <c r="I40" s="202" t="s">
        <v>297</v>
      </c>
      <c r="J40" s="203"/>
      <c r="K40" s="206">
        <f>SUM(K38:K39)</f>
        <v>368.0228094157892</v>
      </c>
    </row>
    <row r="41" spans="2:7" ht="12.75">
      <c r="B41" s="49"/>
      <c r="F41" s="49"/>
      <c r="G41" s="136"/>
    </row>
    <row r="42" spans="2:7" ht="12.75">
      <c r="B42" s="49"/>
      <c r="F42" s="49"/>
      <c r="G42" s="136"/>
    </row>
    <row r="43" ht="12.75">
      <c r="G43" s="136"/>
    </row>
    <row r="44" spans="2:7" ht="12.75">
      <c r="B44" s="49"/>
      <c r="F44" s="49"/>
      <c r="G44" s="136"/>
    </row>
    <row r="45" spans="6:7" ht="12.75">
      <c r="F45" s="49"/>
      <c r="G45" s="136"/>
    </row>
    <row r="46" spans="6:11" ht="12.75">
      <c r="F46" s="49"/>
      <c r="G46" s="136"/>
      <c r="K46" s="136"/>
    </row>
    <row r="48" spans="6:11" ht="12.75">
      <c r="F48" s="3"/>
      <c r="G48" s="3"/>
      <c r="K48" s="3"/>
    </row>
    <row r="49" spans="6:11" ht="12.75">
      <c r="F49" s="92"/>
      <c r="G49" s="92"/>
      <c r="K49" s="92"/>
    </row>
    <row r="50" spans="6:11" ht="12.75">
      <c r="F50" s="92"/>
      <c r="G50" s="92"/>
      <c r="K50" s="92"/>
    </row>
    <row r="51" spans="6:11" ht="12.75">
      <c r="F51" s="92"/>
      <c r="G51" s="92"/>
      <c r="K51" s="92"/>
    </row>
    <row r="52" spans="6:11" ht="12.75">
      <c r="F52" s="92"/>
      <c r="G52" s="92"/>
      <c r="H52" s="92"/>
      <c r="I52" s="92"/>
      <c r="J52" s="92"/>
      <c r="K52" s="92"/>
    </row>
    <row r="53" spans="5:11" ht="12.75">
      <c r="E53" s="136"/>
      <c r="F53" s="136"/>
      <c r="G53" s="136"/>
      <c r="H53" s="136"/>
      <c r="I53" s="136"/>
      <c r="J53" s="136"/>
      <c r="K53" s="136"/>
    </row>
    <row r="54" spans="5:11" ht="12.75">
      <c r="E54" s="136"/>
      <c r="F54" s="136"/>
      <c r="G54" s="136"/>
      <c r="H54" s="136"/>
      <c r="I54" s="136"/>
      <c r="J54" s="136"/>
      <c r="K54" s="136"/>
    </row>
    <row r="55" spans="5:11" ht="12.75">
      <c r="E55" s="136"/>
      <c r="F55" s="136"/>
      <c r="G55" s="136"/>
      <c r="H55" s="136"/>
      <c r="I55" s="136"/>
      <c r="J55" s="136"/>
      <c r="K55" s="136"/>
    </row>
    <row r="56" spans="5:11" ht="12.75">
      <c r="E56" s="136"/>
      <c r="F56" s="136"/>
      <c r="G56" s="136"/>
      <c r="H56" s="136"/>
      <c r="I56" s="136"/>
      <c r="J56" s="136"/>
      <c r="K56" s="136"/>
    </row>
    <row r="57" spans="5:11" ht="12.75">
      <c r="E57" s="136"/>
      <c r="F57" s="136"/>
      <c r="G57" s="136"/>
      <c r="H57" s="136"/>
      <c r="I57" s="136"/>
      <c r="J57" s="136"/>
      <c r="K57" s="136"/>
    </row>
  </sheetData>
  <sheetProtection/>
  <mergeCells count="5">
    <mergeCell ref="A1:J1"/>
    <mergeCell ref="G12:K12"/>
    <mergeCell ref="G17:K17"/>
    <mergeCell ref="B2:F2"/>
    <mergeCell ref="G3:K3"/>
  </mergeCells>
  <printOptions/>
  <pageMargins left="0.75" right="0.75" top="1.56" bottom="0.66" header="1.02" footer="0.35"/>
  <pageSetup horizontalDpi="300" verticalDpi="300" orientation="landscape" scale="80" r:id="rId1"/>
  <headerFooter alignWithMargins="0">
    <oddHeader>&amp;C&amp;"Arial,Bold"&amp;14Acquisition Plan - JAKKS
Consolidated Financial Statements based on Initial Offer Price&amp;R&amp;UAppendix G</oddHeader>
    <oddFooter>&amp;LAcquisition Plan JAKKS&amp;R&amp;D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98"/>
  <sheetViews>
    <sheetView showGridLines="0" zoomScalePageLayoutView="0" workbookViewId="0" topLeftCell="A1">
      <pane xSplit="2" ySplit="5" topLeftCell="T26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B1" sqref="B1"/>
    </sheetView>
  </sheetViews>
  <sheetFormatPr defaultColWidth="10.7109375" defaultRowHeight="19.5" customHeight="1"/>
  <cols>
    <col min="1" max="1" width="4.7109375" style="269" customWidth="1"/>
    <col min="2" max="2" width="40.7109375" style="270" customWidth="1"/>
    <col min="3" max="3" width="3.57421875" style="273" customWidth="1"/>
    <col min="4" max="6" width="3.57421875" style="271" customWidth="1"/>
    <col min="7" max="7" width="3.57421875" style="272" customWidth="1"/>
    <col min="8" max="8" width="3.57421875" style="273" customWidth="1"/>
    <col min="9" max="10" width="3.57421875" style="271" customWidth="1"/>
    <col min="11" max="11" width="3.57421875" style="272" customWidth="1"/>
    <col min="12" max="12" width="3.57421875" style="273" customWidth="1"/>
    <col min="13" max="14" width="3.57421875" style="271" customWidth="1"/>
    <col min="15" max="15" width="3.57421875" style="272" customWidth="1"/>
    <col min="16" max="16" width="3.57421875" style="273" customWidth="1"/>
    <col min="17" max="18" width="3.57421875" style="271" customWidth="1"/>
    <col min="19" max="19" width="3.57421875" style="272" customWidth="1"/>
    <col min="20" max="20" width="3.57421875" style="273" customWidth="1"/>
    <col min="21" max="23" width="3.57421875" style="271" customWidth="1"/>
    <col min="24" max="24" width="3.57421875" style="272" customWidth="1"/>
    <col min="25" max="25" width="3.57421875" style="273" customWidth="1"/>
    <col min="26" max="27" width="3.57421875" style="271" customWidth="1"/>
    <col min="28" max="28" width="3.57421875" style="272" customWidth="1"/>
    <col min="29" max="29" width="3.57421875" style="273" customWidth="1"/>
    <col min="30" max="32" width="3.57421875" style="271" customWidth="1"/>
    <col min="33" max="33" width="3.57421875" style="272" customWidth="1"/>
    <col min="34" max="34" width="3.57421875" style="273" customWidth="1"/>
    <col min="35" max="36" width="3.57421875" style="271" customWidth="1"/>
    <col min="37" max="37" width="3.57421875" style="272" customWidth="1"/>
    <col min="38" max="38" width="3.57421875" style="273" customWidth="1"/>
    <col min="39" max="40" width="3.57421875" style="271" customWidth="1"/>
    <col min="41" max="41" width="3.57421875" style="272" customWidth="1"/>
    <col min="42" max="42" width="3.57421875" style="273" customWidth="1"/>
    <col min="43" max="45" width="3.57421875" style="271" customWidth="1"/>
    <col min="46" max="46" width="3.57421875" style="272" customWidth="1"/>
    <col min="47" max="47" width="3.57421875" style="273" customWidth="1"/>
    <col min="48" max="49" width="3.57421875" style="271" customWidth="1"/>
    <col min="50" max="50" width="3.57421875" style="272" customWidth="1"/>
    <col min="51" max="51" width="3.57421875" style="273" customWidth="1"/>
    <col min="52" max="54" width="3.57421875" style="271" customWidth="1"/>
    <col min="55" max="55" width="3.57421875" style="272" customWidth="1"/>
    <col min="56" max="16384" width="10.7109375" style="233" customWidth="1"/>
  </cols>
  <sheetData>
    <row r="1" spans="3:55" ht="19.5" customHeight="1" thickBot="1">
      <c r="C1" s="383"/>
      <c r="D1" s="386"/>
      <c r="E1" s="386"/>
      <c r="F1" s="386"/>
      <c r="G1" s="383"/>
      <c r="H1" s="383"/>
      <c r="I1" s="386"/>
      <c r="J1" s="386"/>
      <c r="K1" s="383"/>
      <c r="L1" s="383"/>
      <c r="M1" s="386"/>
      <c r="N1" s="386"/>
      <c r="O1" s="459" t="s">
        <v>442</v>
      </c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  <c r="AI1" s="460"/>
      <c r="AJ1" s="460"/>
      <c r="AK1" s="460"/>
      <c r="AL1" s="460"/>
      <c r="AM1" s="460"/>
      <c r="AN1" s="460"/>
      <c r="AO1" s="460"/>
      <c r="AP1" s="460"/>
      <c r="AQ1" s="460"/>
      <c r="AR1" s="386"/>
      <c r="AS1" s="386"/>
      <c r="AT1" s="383"/>
      <c r="AU1" s="383"/>
      <c r="AV1" s="386"/>
      <c r="AW1" s="386"/>
      <c r="AX1" s="383"/>
      <c r="AY1" s="383"/>
      <c r="AZ1" s="386"/>
      <c r="BA1" s="386"/>
      <c r="BB1" s="386"/>
      <c r="BC1" s="383"/>
    </row>
    <row r="2" spans="1:55" ht="19.5" customHeight="1" thickBot="1">
      <c r="A2" s="227"/>
      <c r="B2" s="228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</row>
    <row r="3" spans="1:55" s="235" customFormat="1" ht="19.5" customHeight="1">
      <c r="A3" s="461"/>
      <c r="B3" s="462"/>
      <c r="C3" s="275" t="s">
        <v>376</v>
      </c>
      <c r="D3" s="275"/>
      <c r="E3" s="275"/>
      <c r="F3" s="275"/>
      <c r="G3" s="276"/>
      <c r="H3" s="277" t="s">
        <v>377</v>
      </c>
      <c r="I3" s="278"/>
      <c r="J3" s="278"/>
      <c r="K3" s="276"/>
      <c r="L3" s="277" t="s">
        <v>378</v>
      </c>
      <c r="M3" s="278"/>
      <c r="N3" s="278"/>
      <c r="O3" s="276"/>
      <c r="P3" s="277" t="s">
        <v>379</v>
      </c>
      <c r="Q3" s="278"/>
      <c r="R3" s="278"/>
      <c r="S3" s="276"/>
      <c r="T3" s="277" t="s">
        <v>380</v>
      </c>
      <c r="U3" s="275"/>
      <c r="V3" s="275"/>
      <c r="W3" s="275"/>
      <c r="X3" s="276"/>
      <c r="Y3" s="277" t="s">
        <v>381</v>
      </c>
      <c r="Z3" s="278"/>
      <c r="AA3" s="278"/>
      <c r="AB3" s="276"/>
      <c r="AC3" s="277" t="s">
        <v>382</v>
      </c>
      <c r="AD3" s="275"/>
      <c r="AE3" s="275"/>
      <c r="AF3" s="275"/>
      <c r="AG3" s="276"/>
      <c r="AH3" s="277" t="s">
        <v>383</v>
      </c>
      <c r="AI3" s="278"/>
      <c r="AJ3" s="278"/>
      <c r="AK3" s="276"/>
      <c r="AL3" s="277" t="s">
        <v>384</v>
      </c>
      <c r="AM3" s="278"/>
      <c r="AN3" s="278"/>
      <c r="AO3" s="276"/>
      <c r="AP3" s="277" t="s">
        <v>385</v>
      </c>
      <c r="AQ3" s="275"/>
      <c r="AR3" s="275"/>
      <c r="AS3" s="275"/>
      <c r="AT3" s="276"/>
      <c r="AU3" s="277" t="s">
        <v>386</v>
      </c>
      <c r="AV3" s="278"/>
      <c r="AW3" s="278"/>
      <c r="AX3" s="276"/>
      <c r="AY3" s="277" t="s">
        <v>387</v>
      </c>
      <c r="AZ3" s="275"/>
      <c r="BA3" s="275"/>
      <c r="BB3" s="275"/>
      <c r="BC3" s="276"/>
    </row>
    <row r="4" spans="1:55" ht="19.5" customHeight="1">
      <c r="A4" s="463"/>
      <c r="B4" s="464"/>
      <c r="C4" s="279" t="s">
        <v>388</v>
      </c>
      <c r="D4" s="280" t="s">
        <v>389</v>
      </c>
      <c r="E4" s="280" t="s">
        <v>390</v>
      </c>
      <c r="F4" s="280" t="s">
        <v>391</v>
      </c>
      <c r="G4" s="281" t="s">
        <v>392</v>
      </c>
      <c r="H4" s="282" t="s">
        <v>388</v>
      </c>
      <c r="I4" s="280" t="s">
        <v>389</v>
      </c>
      <c r="J4" s="280" t="s">
        <v>390</v>
      </c>
      <c r="K4" s="281" t="s">
        <v>391</v>
      </c>
      <c r="L4" s="282" t="s">
        <v>388</v>
      </c>
      <c r="M4" s="280" t="s">
        <v>389</v>
      </c>
      <c r="N4" s="280" t="s">
        <v>390</v>
      </c>
      <c r="O4" s="281" t="s">
        <v>391</v>
      </c>
      <c r="P4" s="282" t="s">
        <v>388</v>
      </c>
      <c r="Q4" s="280" t="s">
        <v>389</v>
      </c>
      <c r="R4" s="280" t="s">
        <v>390</v>
      </c>
      <c r="S4" s="281" t="s">
        <v>391</v>
      </c>
      <c r="T4" s="282" t="s">
        <v>388</v>
      </c>
      <c r="U4" s="280" t="s">
        <v>389</v>
      </c>
      <c r="V4" s="280" t="s">
        <v>390</v>
      </c>
      <c r="W4" s="280" t="s">
        <v>391</v>
      </c>
      <c r="X4" s="281" t="s">
        <v>392</v>
      </c>
      <c r="Y4" s="282" t="s">
        <v>388</v>
      </c>
      <c r="Z4" s="280" t="s">
        <v>389</v>
      </c>
      <c r="AA4" s="280" t="s">
        <v>390</v>
      </c>
      <c r="AB4" s="281" t="s">
        <v>391</v>
      </c>
      <c r="AC4" s="282" t="s">
        <v>388</v>
      </c>
      <c r="AD4" s="280" t="s">
        <v>389</v>
      </c>
      <c r="AE4" s="280" t="s">
        <v>390</v>
      </c>
      <c r="AF4" s="280" t="s">
        <v>391</v>
      </c>
      <c r="AG4" s="281" t="s">
        <v>392</v>
      </c>
      <c r="AH4" s="282" t="s">
        <v>388</v>
      </c>
      <c r="AI4" s="280" t="s">
        <v>389</v>
      </c>
      <c r="AJ4" s="280" t="s">
        <v>390</v>
      </c>
      <c r="AK4" s="281" t="s">
        <v>391</v>
      </c>
      <c r="AL4" s="282" t="s">
        <v>388</v>
      </c>
      <c r="AM4" s="280" t="s">
        <v>389</v>
      </c>
      <c r="AN4" s="280" t="s">
        <v>390</v>
      </c>
      <c r="AO4" s="281" t="s">
        <v>391</v>
      </c>
      <c r="AP4" s="282" t="s">
        <v>388</v>
      </c>
      <c r="AQ4" s="280" t="s">
        <v>389</v>
      </c>
      <c r="AR4" s="280" t="s">
        <v>390</v>
      </c>
      <c r="AS4" s="280" t="s">
        <v>391</v>
      </c>
      <c r="AT4" s="281" t="s">
        <v>392</v>
      </c>
      <c r="AU4" s="282" t="s">
        <v>388</v>
      </c>
      <c r="AV4" s="280" t="s">
        <v>389</v>
      </c>
      <c r="AW4" s="280" t="s">
        <v>390</v>
      </c>
      <c r="AX4" s="281" t="s">
        <v>391</v>
      </c>
      <c r="AY4" s="282" t="s">
        <v>388</v>
      </c>
      <c r="AZ4" s="280" t="s">
        <v>389</v>
      </c>
      <c r="BA4" s="280" t="s">
        <v>390</v>
      </c>
      <c r="BB4" s="280" t="s">
        <v>391</v>
      </c>
      <c r="BC4" s="281" t="s">
        <v>392</v>
      </c>
    </row>
    <row r="5" spans="1:55" ht="19.5" customHeight="1" thickBot="1">
      <c r="A5" s="463" t="s">
        <v>576</v>
      </c>
      <c r="B5" s="464"/>
      <c r="C5" s="283">
        <v>31</v>
      </c>
      <c r="D5" s="284">
        <v>7</v>
      </c>
      <c r="E5" s="284">
        <v>14</v>
      </c>
      <c r="F5" s="284">
        <v>21</v>
      </c>
      <c r="G5" s="285">
        <v>28</v>
      </c>
      <c r="H5" s="286">
        <v>4</v>
      </c>
      <c r="I5" s="284">
        <v>11</v>
      </c>
      <c r="J5" s="284">
        <v>18</v>
      </c>
      <c r="K5" s="285">
        <v>25</v>
      </c>
      <c r="L5" s="286">
        <v>4</v>
      </c>
      <c r="M5" s="284">
        <v>11</v>
      </c>
      <c r="N5" s="284">
        <v>18</v>
      </c>
      <c r="O5" s="285">
        <v>25</v>
      </c>
      <c r="P5" s="286">
        <v>1</v>
      </c>
      <c r="Q5" s="284">
        <v>8</v>
      </c>
      <c r="R5" s="284">
        <v>15</v>
      </c>
      <c r="S5" s="285">
        <v>22</v>
      </c>
      <c r="T5" s="283">
        <v>29</v>
      </c>
      <c r="U5" s="284">
        <v>6</v>
      </c>
      <c r="V5" s="284">
        <v>13</v>
      </c>
      <c r="W5" s="284">
        <v>20</v>
      </c>
      <c r="X5" s="285">
        <v>27</v>
      </c>
      <c r="Y5" s="286">
        <v>3</v>
      </c>
      <c r="Z5" s="284">
        <v>10</v>
      </c>
      <c r="AA5" s="284">
        <v>17</v>
      </c>
      <c r="AB5" s="285">
        <v>24</v>
      </c>
      <c r="AC5" s="283">
        <v>1</v>
      </c>
      <c r="AD5" s="284">
        <v>8</v>
      </c>
      <c r="AE5" s="284">
        <v>15</v>
      </c>
      <c r="AF5" s="284">
        <v>22</v>
      </c>
      <c r="AG5" s="285">
        <v>29</v>
      </c>
      <c r="AH5" s="286">
        <v>5</v>
      </c>
      <c r="AI5" s="284">
        <v>12</v>
      </c>
      <c r="AJ5" s="284">
        <v>19</v>
      </c>
      <c r="AK5" s="285">
        <v>26</v>
      </c>
      <c r="AL5" s="286">
        <v>2</v>
      </c>
      <c r="AM5" s="284">
        <v>9</v>
      </c>
      <c r="AN5" s="284">
        <v>16</v>
      </c>
      <c r="AO5" s="285">
        <v>23</v>
      </c>
      <c r="AP5" s="283">
        <v>30</v>
      </c>
      <c r="AQ5" s="284">
        <v>7</v>
      </c>
      <c r="AR5" s="284">
        <v>14</v>
      </c>
      <c r="AS5" s="284">
        <v>21</v>
      </c>
      <c r="AT5" s="285">
        <v>28</v>
      </c>
      <c r="AU5" s="286">
        <v>4</v>
      </c>
      <c r="AV5" s="284">
        <v>11</v>
      </c>
      <c r="AW5" s="284">
        <v>18</v>
      </c>
      <c r="AX5" s="285">
        <v>25</v>
      </c>
      <c r="AY5" s="283">
        <v>2</v>
      </c>
      <c r="AZ5" s="284">
        <v>9</v>
      </c>
      <c r="BA5" s="284">
        <v>16</v>
      </c>
      <c r="BB5" s="284">
        <v>23</v>
      </c>
      <c r="BC5" s="285">
        <v>30</v>
      </c>
    </row>
    <row r="6" spans="1:55" ht="19.5" customHeight="1">
      <c r="A6" s="238"/>
      <c r="B6" s="239" t="s">
        <v>333</v>
      </c>
      <c r="C6" s="287"/>
      <c r="D6" s="287"/>
      <c r="E6" s="287"/>
      <c r="F6" s="287"/>
      <c r="G6" s="288"/>
      <c r="H6" s="289"/>
      <c r="I6" s="287"/>
      <c r="J6" s="287"/>
      <c r="K6" s="288"/>
      <c r="L6" s="289"/>
      <c r="M6" s="287"/>
      <c r="N6" s="287"/>
      <c r="O6" s="288"/>
      <c r="P6" s="289"/>
      <c r="Q6" s="287"/>
      <c r="R6" s="287"/>
      <c r="S6" s="288"/>
      <c r="T6" s="287"/>
      <c r="U6" s="287"/>
      <c r="V6" s="287"/>
      <c r="W6" s="287"/>
      <c r="X6" s="288"/>
      <c r="Y6" s="289"/>
      <c r="Z6" s="287"/>
      <c r="AA6" s="287"/>
      <c r="AB6" s="288"/>
      <c r="AC6" s="287"/>
      <c r="AD6" s="287"/>
      <c r="AE6" s="287"/>
      <c r="AF6" s="287"/>
      <c r="AG6" s="288"/>
      <c r="AH6" s="289"/>
      <c r="AI6" s="287"/>
      <c r="AJ6" s="287"/>
      <c r="AK6" s="288"/>
      <c r="AL6" s="289"/>
      <c r="AM6" s="287"/>
      <c r="AN6" s="287"/>
      <c r="AO6" s="288"/>
      <c r="AP6" s="287"/>
      <c r="AQ6" s="287"/>
      <c r="AR6" s="287"/>
      <c r="AS6" s="287"/>
      <c r="AT6" s="288"/>
      <c r="AU6" s="289"/>
      <c r="AV6" s="287"/>
      <c r="AW6" s="287"/>
      <c r="AX6" s="290"/>
      <c r="AY6" s="287"/>
      <c r="AZ6" s="287"/>
      <c r="BA6" s="287"/>
      <c r="BB6" s="291"/>
      <c r="BC6" s="290"/>
    </row>
    <row r="7" spans="1:55" ht="19.5" customHeight="1">
      <c r="A7" s="240"/>
      <c r="B7" s="241" t="s">
        <v>334</v>
      </c>
      <c r="C7" s="292"/>
      <c r="D7" s="293"/>
      <c r="E7" s="293"/>
      <c r="F7" s="293"/>
      <c r="G7" s="294"/>
      <c r="H7" s="295"/>
      <c r="I7" s="293"/>
      <c r="J7" s="293"/>
      <c r="K7" s="294"/>
      <c r="L7" s="295"/>
      <c r="M7" s="293"/>
      <c r="N7" s="293"/>
      <c r="O7" s="294"/>
      <c r="P7" s="295"/>
      <c r="Q7" s="293"/>
      <c r="R7" s="293"/>
      <c r="S7" s="294"/>
      <c r="T7" s="293"/>
      <c r="U7" s="293"/>
      <c r="V7" s="293"/>
      <c r="W7" s="293"/>
      <c r="X7" s="294"/>
      <c r="Y7" s="295"/>
      <c r="Z7" s="293"/>
      <c r="AA7" s="293"/>
      <c r="AB7" s="294"/>
      <c r="AC7" s="293"/>
      <c r="AD7" s="293"/>
      <c r="AE7" s="293"/>
      <c r="AF7" s="293"/>
      <c r="AG7" s="294"/>
      <c r="AH7" s="295"/>
      <c r="AI7" s="293"/>
      <c r="AJ7" s="293"/>
      <c r="AK7" s="294"/>
      <c r="AL7" s="295"/>
      <c r="AM7" s="293"/>
      <c r="AN7" s="293"/>
      <c r="AO7" s="294"/>
      <c r="AP7" s="293"/>
      <c r="AQ7" s="293"/>
      <c r="AR7" s="293"/>
      <c r="AS7" s="293"/>
      <c r="AT7" s="294"/>
      <c r="AU7" s="295"/>
      <c r="AV7" s="293"/>
      <c r="AW7" s="293"/>
      <c r="AX7" s="296"/>
      <c r="AY7" s="293"/>
      <c r="AZ7" s="293"/>
      <c r="BA7" s="293"/>
      <c r="BB7" s="297"/>
      <c r="BC7" s="296"/>
    </row>
    <row r="8" spans="1:55" ht="19.5" customHeight="1">
      <c r="A8" s="240"/>
      <c r="B8" s="244" t="s">
        <v>337</v>
      </c>
      <c r="C8" s="298"/>
      <c r="D8" s="299"/>
      <c r="E8" s="300"/>
      <c r="F8" s="301"/>
      <c r="G8" s="302"/>
      <c r="H8" s="303"/>
      <c r="I8" s="301"/>
      <c r="J8" s="301"/>
      <c r="K8" s="302"/>
      <c r="L8" s="303"/>
      <c r="M8" s="301"/>
      <c r="N8" s="301"/>
      <c r="O8" s="302"/>
      <c r="P8" s="303"/>
      <c r="Q8" s="301"/>
      <c r="R8" s="301"/>
      <c r="S8" s="302"/>
      <c r="T8" s="301"/>
      <c r="U8" s="301"/>
      <c r="V8" s="301"/>
      <c r="W8" s="301"/>
      <c r="X8" s="302"/>
      <c r="Y8" s="303"/>
      <c r="Z8" s="301"/>
      <c r="AA8" s="301"/>
      <c r="AB8" s="302"/>
      <c r="AC8" s="301"/>
      <c r="AD8" s="301"/>
      <c r="AE8" s="301"/>
      <c r="AF8" s="301"/>
      <c r="AG8" s="302"/>
      <c r="AH8" s="303"/>
      <c r="AI8" s="301"/>
      <c r="AJ8" s="301"/>
      <c r="AK8" s="302"/>
      <c r="AL8" s="303"/>
      <c r="AM8" s="301"/>
      <c r="AN8" s="301"/>
      <c r="AO8" s="302"/>
      <c r="AP8" s="301"/>
      <c r="AQ8" s="301"/>
      <c r="AR8" s="301"/>
      <c r="AS8" s="301"/>
      <c r="AT8" s="302"/>
      <c r="AU8" s="303"/>
      <c r="AV8" s="301"/>
      <c r="AW8" s="301"/>
      <c r="AX8" s="304"/>
      <c r="AY8" s="301"/>
      <c r="AZ8" s="301"/>
      <c r="BA8" s="301"/>
      <c r="BB8" s="305"/>
      <c r="BC8" s="304"/>
    </row>
    <row r="9" spans="1:55" ht="19.5" customHeight="1">
      <c r="A9" s="240"/>
      <c r="B9" s="241" t="s">
        <v>339</v>
      </c>
      <c r="C9" s="293"/>
      <c r="D9" s="306"/>
      <c r="E9" s="307"/>
      <c r="F9" s="292"/>
      <c r="G9" s="294"/>
      <c r="H9" s="308"/>
      <c r="I9" s="293"/>
      <c r="J9" s="293"/>
      <c r="K9" s="294"/>
      <c r="L9" s="308"/>
      <c r="M9" s="293"/>
      <c r="N9" s="293"/>
      <c r="O9" s="294"/>
      <c r="P9" s="308"/>
      <c r="Q9" s="293"/>
      <c r="R9" s="293"/>
      <c r="S9" s="294"/>
      <c r="T9" s="293"/>
      <c r="U9" s="293"/>
      <c r="V9" s="293"/>
      <c r="W9" s="293"/>
      <c r="X9" s="294"/>
      <c r="Y9" s="295"/>
      <c r="Z9" s="293"/>
      <c r="AA9" s="293"/>
      <c r="AB9" s="294"/>
      <c r="AC9" s="293"/>
      <c r="AD9" s="293"/>
      <c r="AE9" s="293"/>
      <c r="AF9" s="293"/>
      <c r="AG9" s="294"/>
      <c r="AH9" s="295"/>
      <c r="AI9" s="293"/>
      <c r="AJ9" s="293"/>
      <c r="AK9" s="294"/>
      <c r="AL9" s="295"/>
      <c r="AM9" s="293"/>
      <c r="AN9" s="293"/>
      <c r="AO9" s="294"/>
      <c r="AP9" s="293"/>
      <c r="AQ9" s="293"/>
      <c r="AR9" s="293"/>
      <c r="AS9" s="293"/>
      <c r="AT9" s="294"/>
      <c r="AU9" s="295"/>
      <c r="AV9" s="293"/>
      <c r="AW9" s="293"/>
      <c r="AX9" s="296"/>
      <c r="AY9" s="293"/>
      <c r="AZ9" s="293"/>
      <c r="BA9" s="293"/>
      <c r="BB9" s="297"/>
      <c r="BC9" s="296"/>
    </row>
    <row r="10" spans="1:55" ht="19.5" customHeight="1">
      <c r="A10" s="240"/>
      <c r="B10" s="244" t="s">
        <v>341</v>
      </c>
      <c r="C10" s="301"/>
      <c r="D10" s="301"/>
      <c r="E10" s="301"/>
      <c r="F10" s="301"/>
      <c r="G10" s="302"/>
      <c r="H10" s="303"/>
      <c r="I10" s="301"/>
      <c r="J10" s="301"/>
      <c r="K10" s="302"/>
      <c r="L10" s="303"/>
      <c r="M10" s="301"/>
      <c r="N10" s="301"/>
      <c r="O10" s="302"/>
      <c r="P10" s="303"/>
      <c r="Q10" s="301"/>
      <c r="R10" s="301"/>
      <c r="S10" s="302"/>
      <c r="T10" s="301"/>
      <c r="U10" s="301"/>
      <c r="V10" s="301"/>
      <c r="W10" s="301"/>
      <c r="X10" s="302"/>
      <c r="Y10" s="303"/>
      <c r="Z10" s="301"/>
      <c r="AA10" s="301"/>
      <c r="AB10" s="302"/>
      <c r="AC10" s="301"/>
      <c r="AD10" s="301"/>
      <c r="AE10" s="301"/>
      <c r="AF10" s="301"/>
      <c r="AG10" s="302"/>
      <c r="AH10" s="303"/>
      <c r="AI10" s="301"/>
      <c r="AJ10" s="301"/>
      <c r="AK10" s="302"/>
      <c r="AL10" s="303"/>
      <c r="AM10" s="301"/>
      <c r="AN10" s="301"/>
      <c r="AO10" s="302"/>
      <c r="AP10" s="301"/>
      <c r="AQ10" s="301"/>
      <c r="AR10" s="301"/>
      <c r="AS10" s="301"/>
      <c r="AT10" s="302"/>
      <c r="AU10" s="303"/>
      <c r="AV10" s="301"/>
      <c r="AW10" s="301"/>
      <c r="AX10" s="304"/>
      <c r="AY10" s="301"/>
      <c r="AZ10" s="301"/>
      <c r="BA10" s="301"/>
      <c r="BB10" s="305"/>
      <c r="BC10" s="304"/>
    </row>
    <row r="11" spans="1:55" ht="19.5" customHeight="1">
      <c r="A11" s="240"/>
      <c r="B11" s="248" t="s">
        <v>342</v>
      </c>
      <c r="C11" s="293"/>
      <c r="D11" s="293"/>
      <c r="E11" s="306"/>
      <c r="F11" s="307"/>
      <c r="G11" s="309"/>
      <c r="H11" s="310"/>
      <c r="I11" s="307"/>
      <c r="J11" s="307"/>
      <c r="K11" s="309"/>
      <c r="L11" s="310"/>
      <c r="M11" s="307"/>
      <c r="N11" s="307"/>
      <c r="O11" s="311"/>
      <c r="P11" s="308"/>
      <c r="Q11" s="293"/>
      <c r="R11" s="293"/>
      <c r="S11" s="294"/>
      <c r="T11" s="293"/>
      <c r="U11" s="293"/>
      <c r="V11" s="293"/>
      <c r="W11" s="293"/>
      <c r="X11" s="294"/>
      <c r="Y11" s="295"/>
      <c r="Z11" s="293"/>
      <c r="AA11" s="293"/>
      <c r="AB11" s="294"/>
      <c r="AC11" s="293"/>
      <c r="AD11" s="293"/>
      <c r="AE11" s="293"/>
      <c r="AF11" s="293"/>
      <c r="AG11" s="294"/>
      <c r="AH11" s="295"/>
      <c r="AI11" s="293"/>
      <c r="AJ11" s="293"/>
      <c r="AK11" s="294"/>
      <c r="AL11" s="295"/>
      <c r="AM11" s="293"/>
      <c r="AN11" s="293"/>
      <c r="AO11" s="294"/>
      <c r="AP11" s="293"/>
      <c r="AQ11" s="293"/>
      <c r="AR11" s="293"/>
      <c r="AS11" s="293"/>
      <c r="AT11" s="294"/>
      <c r="AU11" s="295"/>
      <c r="AV11" s="293"/>
      <c r="AW11" s="293"/>
      <c r="AX11" s="296"/>
      <c r="AY11" s="293"/>
      <c r="AZ11" s="293"/>
      <c r="BA11" s="293"/>
      <c r="BB11" s="297"/>
      <c r="BC11" s="296"/>
    </row>
    <row r="12" spans="1:55" ht="19.5" customHeight="1">
      <c r="A12" s="240"/>
      <c r="B12" s="249" t="s">
        <v>345</v>
      </c>
      <c r="C12" s="301"/>
      <c r="D12" s="301"/>
      <c r="E12" s="301"/>
      <c r="F12" s="301"/>
      <c r="G12" s="312"/>
      <c r="H12" s="313"/>
      <c r="I12" s="299"/>
      <c r="J12" s="299"/>
      <c r="K12" s="314"/>
      <c r="L12" s="313"/>
      <c r="M12" s="299"/>
      <c r="N12" s="299"/>
      <c r="O12" s="315"/>
      <c r="P12" s="303"/>
      <c r="Q12" s="301"/>
      <c r="R12" s="301"/>
      <c r="S12" s="302"/>
      <c r="T12" s="301"/>
      <c r="U12" s="301"/>
      <c r="V12" s="301"/>
      <c r="W12" s="301"/>
      <c r="X12" s="302"/>
      <c r="Y12" s="303"/>
      <c r="Z12" s="301"/>
      <c r="AA12" s="301"/>
      <c r="AB12" s="302"/>
      <c r="AC12" s="301"/>
      <c r="AD12" s="301"/>
      <c r="AE12" s="301"/>
      <c r="AF12" s="301"/>
      <c r="AG12" s="302"/>
      <c r="AH12" s="303"/>
      <c r="AI12" s="301"/>
      <c r="AJ12" s="301"/>
      <c r="AK12" s="302"/>
      <c r="AL12" s="303"/>
      <c r="AM12" s="301"/>
      <c r="AN12" s="301"/>
      <c r="AO12" s="302"/>
      <c r="AP12" s="301"/>
      <c r="AQ12" s="301"/>
      <c r="AR12" s="301"/>
      <c r="AS12" s="301"/>
      <c r="AT12" s="302"/>
      <c r="AU12" s="303"/>
      <c r="AV12" s="301"/>
      <c r="AW12" s="301"/>
      <c r="AX12" s="304"/>
      <c r="AY12" s="301"/>
      <c r="AZ12" s="301"/>
      <c r="BA12" s="301"/>
      <c r="BB12" s="305"/>
      <c r="BC12" s="304"/>
    </row>
    <row r="13" spans="1:55" ht="19.5" customHeight="1">
      <c r="A13" s="240"/>
      <c r="B13" s="248" t="s">
        <v>347</v>
      </c>
      <c r="C13" s="293"/>
      <c r="D13" s="293"/>
      <c r="E13" s="293"/>
      <c r="F13" s="293"/>
      <c r="G13" s="294"/>
      <c r="H13" s="316"/>
      <c r="I13" s="307"/>
      <c r="J13" s="307"/>
      <c r="K13" s="309"/>
      <c r="L13" s="310"/>
      <c r="M13" s="307"/>
      <c r="N13" s="307"/>
      <c r="O13" s="311"/>
      <c r="P13" s="308"/>
      <c r="Q13" s="293"/>
      <c r="R13" s="293"/>
      <c r="S13" s="294"/>
      <c r="T13" s="293"/>
      <c r="U13" s="293"/>
      <c r="V13" s="293"/>
      <c r="W13" s="293"/>
      <c r="X13" s="294"/>
      <c r="Y13" s="295"/>
      <c r="Z13" s="293"/>
      <c r="AA13" s="293"/>
      <c r="AB13" s="294"/>
      <c r="AC13" s="293"/>
      <c r="AD13" s="293"/>
      <c r="AE13" s="293"/>
      <c r="AF13" s="293"/>
      <c r="AG13" s="294"/>
      <c r="AH13" s="295"/>
      <c r="AI13" s="293"/>
      <c r="AJ13" s="293"/>
      <c r="AK13" s="294"/>
      <c r="AL13" s="295"/>
      <c r="AM13" s="293"/>
      <c r="AN13" s="293"/>
      <c r="AO13" s="294"/>
      <c r="AP13" s="293"/>
      <c r="AQ13" s="293"/>
      <c r="AR13" s="293"/>
      <c r="AS13" s="293"/>
      <c r="AT13" s="294"/>
      <c r="AU13" s="295"/>
      <c r="AV13" s="293"/>
      <c r="AW13" s="293"/>
      <c r="AX13" s="296"/>
      <c r="AY13" s="293"/>
      <c r="AZ13" s="293"/>
      <c r="BA13" s="293"/>
      <c r="BB13" s="297"/>
      <c r="BC13" s="296"/>
    </row>
    <row r="14" spans="1:55" ht="19.5" customHeight="1">
      <c r="A14" s="240"/>
      <c r="B14" s="249" t="s">
        <v>349</v>
      </c>
      <c r="C14" s="301"/>
      <c r="D14" s="301"/>
      <c r="E14" s="298"/>
      <c r="F14" s="299"/>
      <c r="G14" s="314"/>
      <c r="H14" s="313"/>
      <c r="I14" s="299"/>
      <c r="J14" s="299"/>
      <c r="K14" s="314"/>
      <c r="L14" s="313"/>
      <c r="M14" s="299"/>
      <c r="N14" s="299"/>
      <c r="O14" s="315"/>
      <c r="P14" s="303"/>
      <c r="Q14" s="301"/>
      <c r="R14" s="301"/>
      <c r="S14" s="302"/>
      <c r="T14" s="301"/>
      <c r="U14" s="301"/>
      <c r="V14" s="301"/>
      <c r="W14" s="301"/>
      <c r="X14" s="302"/>
      <c r="Y14" s="303"/>
      <c r="Z14" s="301"/>
      <c r="AA14" s="301"/>
      <c r="AB14" s="302"/>
      <c r="AC14" s="301"/>
      <c r="AD14" s="301"/>
      <c r="AE14" s="301"/>
      <c r="AF14" s="301"/>
      <c r="AG14" s="302"/>
      <c r="AH14" s="303"/>
      <c r="AI14" s="301"/>
      <c r="AJ14" s="301"/>
      <c r="AK14" s="302"/>
      <c r="AL14" s="303"/>
      <c r="AM14" s="301"/>
      <c r="AN14" s="301"/>
      <c r="AO14" s="302"/>
      <c r="AP14" s="301"/>
      <c r="AQ14" s="301"/>
      <c r="AR14" s="301"/>
      <c r="AS14" s="301"/>
      <c r="AT14" s="302"/>
      <c r="AU14" s="303"/>
      <c r="AV14" s="301"/>
      <c r="AW14" s="301"/>
      <c r="AX14" s="304"/>
      <c r="AY14" s="301"/>
      <c r="AZ14" s="301"/>
      <c r="BA14" s="301"/>
      <c r="BB14" s="305"/>
      <c r="BC14" s="304"/>
    </row>
    <row r="15" spans="1:55" ht="19.5" customHeight="1">
      <c r="A15" s="240"/>
      <c r="B15" s="248" t="s">
        <v>580</v>
      </c>
      <c r="C15" s="293"/>
      <c r="D15" s="293"/>
      <c r="E15" s="306"/>
      <c r="F15" s="307"/>
      <c r="G15" s="309"/>
      <c r="H15" s="310"/>
      <c r="I15" s="307"/>
      <c r="J15" s="307"/>
      <c r="K15" s="309"/>
      <c r="L15" s="310"/>
      <c r="M15" s="307"/>
      <c r="N15" s="307"/>
      <c r="O15" s="311"/>
      <c r="P15" s="308"/>
      <c r="Q15" s="293"/>
      <c r="R15" s="293"/>
      <c r="S15" s="294"/>
      <c r="T15" s="293"/>
      <c r="U15" s="293"/>
      <c r="V15" s="293"/>
      <c r="W15" s="293"/>
      <c r="X15" s="294"/>
      <c r="Y15" s="295"/>
      <c r="Z15" s="293"/>
      <c r="AA15" s="293"/>
      <c r="AB15" s="294"/>
      <c r="AC15" s="293"/>
      <c r="AD15" s="293"/>
      <c r="AE15" s="293"/>
      <c r="AF15" s="293"/>
      <c r="AG15" s="294"/>
      <c r="AH15" s="295"/>
      <c r="AI15" s="293"/>
      <c r="AJ15" s="293"/>
      <c r="AK15" s="294"/>
      <c r="AL15" s="295"/>
      <c r="AM15" s="293"/>
      <c r="AN15" s="293"/>
      <c r="AO15" s="294"/>
      <c r="AP15" s="293"/>
      <c r="AQ15" s="293"/>
      <c r="AR15" s="293"/>
      <c r="AS15" s="293"/>
      <c r="AT15" s="294"/>
      <c r="AU15" s="295"/>
      <c r="AV15" s="293"/>
      <c r="AW15" s="293"/>
      <c r="AX15" s="296"/>
      <c r="AY15" s="293"/>
      <c r="AZ15" s="293"/>
      <c r="BA15" s="293"/>
      <c r="BB15" s="297"/>
      <c r="BC15" s="296"/>
    </row>
    <row r="16" spans="1:55" ht="19.5" customHeight="1">
      <c r="A16" s="240"/>
      <c r="B16" s="250" t="s">
        <v>418</v>
      </c>
      <c r="C16" s="301"/>
      <c r="D16" s="301"/>
      <c r="E16" s="301"/>
      <c r="F16" s="301"/>
      <c r="G16" s="302"/>
      <c r="H16" s="317"/>
      <c r="I16" s="301"/>
      <c r="J16" s="301"/>
      <c r="K16" s="302"/>
      <c r="L16" s="317"/>
      <c r="M16" s="301"/>
      <c r="N16" s="301"/>
      <c r="O16" s="315"/>
      <c r="P16" s="317"/>
      <c r="Q16" s="301"/>
      <c r="R16" s="301"/>
      <c r="S16" s="302"/>
      <c r="T16" s="301"/>
      <c r="U16" s="301"/>
      <c r="V16" s="301"/>
      <c r="W16" s="301"/>
      <c r="X16" s="302"/>
      <c r="Y16" s="303"/>
      <c r="Z16" s="301"/>
      <c r="AA16" s="301"/>
      <c r="AB16" s="302"/>
      <c r="AC16" s="301"/>
      <c r="AD16" s="301"/>
      <c r="AE16" s="301"/>
      <c r="AF16" s="301"/>
      <c r="AG16" s="302"/>
      <c r="AH16" s="303"/>
      <c r="AI16" s="301"/>
      <c r="AJ16" s="301"/>
      <c r="AK16" s="302"/>
      <c r="AL16" s="303"/>
      <c r="AM16" s="301"/>
      <c r="AN16" s="301"/>
      <c r="AO16" s="302"/>
      <c r="AP16" s="301"/>
      <c r="AQ16" s="301"/>
      <c r="AR16" s="301"/>
      <c r="AS16" s="301"/>
      <c r="AT16" s="302"/>
      <c r="AU16" s="303"/>
      <c r="AV16" s="301"/>
      <c r="AW16" s="301"/>
      <c r="AX16" s="304"/>
      <c r="AY16" s="301"/>
      <c r="AZ16" s="301"/>
      <c r="BA16" s="301"/>
      <c r="BB16" s="305"/>
      <c r="BC16" s="304"/>
    </row>
    <row r="17" spans="1:55" ht="19.5" customHeight="1">
      <c r="A17" s="240"/>
      <c r="B17" s="241" t="s">
        <v>351</v>
      </c>
      <c r="C17" s="293"/>
      <c r="D17" s="293"/>
      <c r="E17" s="306"/>
      <c r="F17" s="307"/>
      <c r="G17" s="309"/>
      <c r="H17" s="310"/>
      <c r="I17" s="307"/>
      <c r="J17" s="307"/>
      <c r="K17" s="309"/>
      <c r="L17" s="310"/>
      <c r="M17" s="307"/>
      <c r="N17" s="307"/>
      <c r="O17" s="311"/>
      <c r="P17" s="308"/>
      <c r="Q17" s="293"/>
      <c r="R17" s="293"/>
      <c r="S17" s="294"/>
      <c r="T17" s="293"/>
      <c r="U17" s="293"/>
      <c r="V17" s="293"/>
      <c r="W17" s="293"/>
      <c r="X17" s="294"/>
      <c r="Y17" s="295"/>
      <c r="Z17" s="293"/>
      <c r="AA17" s="293"/>
      <c r="AB17" s="294"/>
      <c r="AC17" s="293"/>
      <c r="AD17" s="293"/>
      <c r="AE17" s="293"/>
      <c r="AF17" s="293"/>
      <c r="AG17" s="294"/>
      <c r="AH17" s="295"/>
      <c r="AI17" s="293"/>
      <c r="AJ17" s="293"/>
      <c r="AK17" s="294"/>
      <c r="AL17" s="295"/>
      <c r="AM17" s="293"/>
      <c r="AN17" s="293"/>
      <c r="AO17" s="294"/>
      <c r="AP17" s="293"/>
      <c r="AQ17" s="293"/>
      <c r="AR17" s="293"/>
      <c r="AS17" s="293"/>
      <c r="AT17" s="294"/>
      <c r="AU17" s="295"/>
      <c r="AV17" s="293"/>
      <c r="AW17" s="293"/>
      <c r="AX17" s="296"/>
      <c r="AY17" s="293"/>
      <c r="AZ17" s="293"/>
      <c r="BA17" s="293"/>
      <c r="BB17" s="297"/>
      <c r="BC17" s="296"/>
    </row>
    <row r="18" spans="1:55" ht="19.5" customHeight="1" thickBot="1">
      <c r="A18" s="251"/>
      <c r="B18" s="252" t="s">
        <v>352</v>
      </c>
      <c r="C18" s="318"/>
      <c r="D18" s="318"/>
      <c r="E18" s="318"/>
      <c r="F18" s="318"/>
      <c r="G18" s="319"/>
      <c r="H18" s="320"/>
      <c r="I18" s="318"/>
      <c r="J18" s="318"/>
      <c r="K18" s="319"/>
      <c r="L18" s="320"/>
      <c r="M18" s="318"/>
      <c r="N18" s="318"/>
      <c r="O18" s="321"/>
      <c r="P18" s="322"/>
      <c r="Q18" s="323"/>
      <c r="R18" s="318"/>
      <c r="S18" s="319"/>
      <c r="T18" s="318"/>
      <c r="U18" s="318"/>
      <c r="V18" s="318"/>
      <c r="W18" s="318"/>
      <c r="X18" s="319"/>
      <c r="Y18" s="320"/>
      <c r="Z18" s="318"/>
      <c r="AA18" s="318"/>
      <c r="AB18" s="319"/>
      <c r="AC18" s="318"/>
      <c r="AD18" s="318"/>
      <c r="AE18" s="318"/>
      <c r="AF18" s="318"/>
      <c r="AG18" s="319"/>
      <c r="AH18" s="320"/>
      <c r="AI18" s="318"/>
      <c r="AJ18" s="318"/>
      <c r="AK18" s="319"/>
      <c r="AL18" s="320"/>
      <c r="AM18" s="318"/>
      <c r="AN18" s="318"/>
      <c r="AO18" s="319"/>
      <c r="AP18" s="318"/>
      <c r="AQ18" s="318"/>
      <c r="AR18" s="318"/>
      <c r="AS18" s="318"/>
      <c r="AT18" s="319"/>
      <c r="AU18" s="320"/>
      <c r="AV18" s="318"/>
      <c r="AW18" s="318"/>
      <c r="AX18" s="324"/>
      <c r="AY18" s="318"/>
      <c r="AZ18" s="318"/>
      <c r="BA18" s="318"/>
      <c r="BB18" s="325"/>
      <c r="BC18" s="324"/>
    </row>
    <row r="19" spans="1:55" ht="19.5" customHeight="1">
      <c r="A19" s="238"/>
      <c r="B19" s="239" t="s">
        <v>353</v>
      </c>
      <c r="C19" s="301"/>
      <c r="D19" s="301"/>
      <c r="E19" s="301"/>
      <c r="F19" s="301"/>
      <c r="G19" s="302"/>
      <c r="H19" s="303"/>
      <c r="I19" s="301"/>
      <c r="J19" s="301"/>
      <c r="K19" s="302"/>
      <c r="L19" s="303"/>
      <c r="M19" s="301"/>
      <c r="N19" s="301"/>
      <c r="O19" s="302"/>
      <c r="P19" s="303"/>
      <c r="Q19" s="301"/>
      <c r="R19" s="301"/>
      <c r="S19" s="302"/>
      <c r="T19" s="301"/>
      <c r="U19" s="301"/>
      <c r="V19" s="301"/>
      <c r="W19" s="301"/>
      <c r="X19" s="302"/>
      <c r="Y19" s="303"/>
      <c r="Z19" s="301"/>
      <c r="AA19" s="301"/>
      <c r="AB19" s="302"/>
      <c r="AC19" s="301"/>
      <c r="AD19" s="301"/>
      <c r="AE19" s="301"/>
      <c r="AF19" s="301"/>
      <c r="AG19" s="302"/>
      <c r="AH19" s="303"/>
      <c r="AI19" s="301"/>
      <c r="AJ19" s="301"/>
      <c r="AK19" s="302"/>
      <c r="AL19" s="303"/>
      <c r="AM19" s="301"/>
      <c r="AN19" s="301"/>
      <c r="AO19" s="302"/>
      <c r="AP19" s="301"/>
      <c r="AQ19" s="301"/>
      <c r="AR19" s="301"/>
      <c r="AS19" s="301"/>
      <c r="AT19" s="302"/>
      <c r="AU19" s="303"/>
      <c r="AV19" s="301"/>
      <c r="AW19" s="301"/>
      <c r="AX19" s="304"/>
      <c r="AY19" s="301"/>
      <c r="AZ19" s="301"/>
      <c r="BA19" s="301"/>
      <c r="BB19" s="305"/>
      <c r="BC19" s="304"/>
    </row>
    <row r="20" spans="1:55" ht="19.5" customHeight="1">
      <c r="A20" s="240"/>
      <c r="B20" s="241" t="s">
        <v>354</v>
      </c>
      <c r="C20" s="293"/>
      <c r="D20" s="293"/>
      <c r="E20" s="293"/>
      <c r="F20" s="293"/>
      <c r="G20" s="294"/>
      <c r="H20" s="295"/>
      <c r="I20" s="293"/>
      <c r="J20" s="293"/>
      <c r="K20" s="294"/>
      <c r="L20" s="295"/>
      <c r="M20" s="293"/>
      <c r="N20" s="293"/>
      <c r="O20" s="294"/>
      <c r="P20" s="295"/>
      <c r="Q20" s="293"/>
      <c r="R20" s="293"/>
      <c r="S20" s="294"/>
      <c r="T20" s="293"/>
      <c r="U20" s="293"/>
      <c r="V20" s="293"/>
      <c r="W20" s="293"/>
      <c r="X20" s="294"/>
      <c r="Y20" s="295"/>
      <c r="Z20" s="293"/>
      <c r="AA20" s="293"/>
      <c r="AB20" s="294"/>
      <c r="AC20" s="293"/>
      <c r="AD20" s="293"/>
      <c r="AE20" s="293"/>
      <c r="AF20" s="293"/>
      <c r="AG20" s="294"/>
      <c r="AH20" s="295"/>
      <c r="AI20" s="293"/>
      <c r="AJ20" s="293"/>
      <c r="AK20" s="294"/>
      <c r="AL20" s="295"/>
      <c r="AM20" s="293"/>
      <c r="AN20" s="293"/>
      <c r="AO20" s="294"/>
      <c r="AP20" s="293"/>
      <c r="AQ20" s="293"/>
      <c r="AR20" s="293"/>
      <c r="AS20" s="293"/>
      <c r="AT20" s="294"/>
      <c r="AU20" s="295"/>
      <c r="AV20" s="293"/>
      <c r="AW20" s="293"/>
      <c r="AX20" s="296"/>
      <c r="AY20" s="293"/>
      <c r="AZ20" s="293"/>
      <c r="BA20" s="293"/>
      <c r="BB20" s="297"/>
      <c r="BC20" s="296"/>
    </row>
    <row r="21" spans="1:55" ht="19.5" customHeight="1">
      <c r="A21" s="240"/>
      <c r="B21" s="249" t="s">
        <v>355</v>
      </c>
      <c r="C21" s="301"/>
      <c r="D21" s="301"/>
      <c r="E21" s="301"/>
      <c r="F21" s="301"/>
      <c r="G21" s="302"/>
      <c r="H21" s="303"/>
      <c r="I21" s="301"/>
      <c r="J21" s="301"/>
      <c r="K21" s="302"/>
      <c r="L21" s="326"/>
      <c r="M21" s="299"/>
      <c r="N21" s="299"/>
      <c r="O21" s="314"/>
      <c r="P21" s="313"/>
      <c r="Q21" s="299"/>
      <c r="R21" s="299"/>
      <c r="S21" s="314"/>
      <c r="T21" s="299"/>
      <c r="U21" s="299"/>
      <c r="V21" s="299"/>
      <c r="W21" s="299"/>
      <c r="X21" s="314"/>
      <c r="Y21" s="313"/>
      <c r="Z21" s="299"/>
      <c r="AA21" s="299"/>
      <c r="AB21" s="314"/>
      <c r="AC21" s="300"/>
      <c r="AD21" s="301"/>
      <c r="AE21" s="301"/>
      <c r="AF21" s="301"/>
      <c r="AG21" s="302"/>
      <c r="AH21" s="303"/>
      <c r="AI21" s="301"/>
      <c r="AJ21" s="301"/>
      <c r="AK21" s="302"/>
      <c r="AL21" s="303"/>
      <c r="AM21" s="301"/>
      <c r="AN21" s="301"/>
      <c r="AO21" s="302"/>
      <c r="AP21" s="301"/>
      <c r="AQ21" s="301"/>
      <c r="AR21" s="301"/>
      <c r="AS21" s="301"/>
      <c r="AT21" s="302"/>
      <c r="AU21" s="303"/>
      <c r="AV21" s="301"/>
      <c r="AW21" s="301"/>
      <c r="AX21" s="304"/>
      <c r="AY21" s="301"/>
      <c r="AZ21" s="301"/>
      <c r="BA21" s="301"/>
      <c r="BB21" s="305"/>
      <c r="BC21" s="304"/>
    </row>
    <row r="22" spans="1:55" ht="19.5" customHeight="1">
      <c r="A22" s="240"/>
      <c r="B22" s="241" t="s">
        <v>357</v>
      </c>
      <c r="C22" s="293"/>
      <c r="D22" s="293"/>
      <c r="E22" s="293"/>
      <c r="F22" s="293"/>
      <c r="G22" s="294"/>
      <c r="H22" s="295"/>
      <c r="I22" s="293"/>
      <c r="J22" s="293"/>
      <c r="K22" s="294"/>
      <c r="L22" s="327"/>
      <c r="M22" s="307"/>
      <c r="N22" s="307"/>
      <c r="O22" s="309"/>
      <c r="P22" s="328"/>
      <c r="Q22" s="307"/>
      <c r="R22" s="307"/>
      <c r="S22" s="309"/>
      <c r="T22" s="307"/>
      <c r="U22" s="307"/>
      <c r="V22" s="307"/>
      <c r="W22" s="307"/>
      <c r="X22" s="309"/>
      <c r="Y22" s="328"/>
      <c r="Z22" s="307"/>
      <c r="AA22" s="307"/>
      <c r="AB22" s="309"/>
      <c r="AC22" s="292"/>
      <c r="AD22" s="293"/>
      <c r="AE22" s="293"/>
      <c r="AF22" s="293"/>
      <c r="AG22" s="294"/>
      <c r="AH22" s="295"/>
      <c r="AI22" s="293"/>
      <c r="AJ22" s="293"/>
      <c r="AK22" s="294"/>
      <c r="AL22" s="295"/>
      <c r="AM22" s="293"/>
      <c r="AN22" s="293"/>
      <c r="AO22" s="294"/>
      <c r="AP22" s="293"/>
      <c r="AQ22" s="293"/>
      <c r="AR22" s="293"/>
      <c r="AS22" s="293"/>
      <c r="AT22" s="294"/>
      <c r="AU22" s="295"/>
      <c r="AV22" s="293"/>
      <c r="AW22" s="293"/>
      <c r="AX22" s="296"/>
      <c r="AY22" s="293"/>
      <c r="AZ22" s="293"/>
      <c r="BA22" s="293"/>
      <c r="BB22" s="297"/>
      <c r="BC22" s="296"/>
    </row>
    <row r="23" spans="1:55" ht="19.5" customHeight="1">
      <c r="A23" s="240"/>
      <c r="B23" s="244" t="s">
        <v>358</v>
      </c>
      <c r="C23" s="301"/>
      <c r="D23" s="301"/>
      <c r="E23" s="301"/>
      <c r="F23" s="301"/>
      <c r="G23" s="302"/>
      <c r="H23" s="303"/>
      <c r="I23" s="301"/>
      <c r="J23" s="301"/>
      <c r="K23" s="302"/>
      <c r="L23" s="303"/>
      <c r="M23" s="301"/>
      <c r="N23" s="301"/>
      <c r="O23" s="302"/>
      <c r="P23" s="303"/>
      <c r="Q23" s="301"/>
      <c r="R23" s="301"/>
      <c r="S23" s="302"/>
      <c r="T23" s="301"/>
      <c r="U23" s="301"/>
      <c r="V23" s="301"/>
      <c r="W23" s="301"/>
      <c r="X23" s="302"/>
      <c r="Y23" s="303"/>
      <c r="Z23" s="301"/>
      <c r="AA23" s="301"/>
      <c r="AB23" s="302"/>
      <c r="AC23" s="301"/>
      <c r="AD23" s="301"/>
      <c r="AE23" s="301"/>
      <c r="AF23" s="301"/>
      <c r="AG23" s="302"/>
      <c r="AH23" s="303"/>
      <c r="AI23" s="301"/>
      <c r="AJ23" s="301"/>
      <c r="AK23" s="302"/>
      <c r="AL23" s="303"/>
      <c r="AM23" s="301"/>
      <c r="AN23" s="301"/>
      <c r="AO23" s="302"/>
      <c r="AP23" s="301"/>
      <c r="AQ23" s="301"/>
      <c r="AR23" s="301"/>
      <c r="AS23" s="301"/>
      <c r="AT23" s="302"/>
      <c r="AU23" s="303"/>
      <c r="AV23" s="301"/>
      <c r="AW23" s="301"/>
      <c r="AX23" s="304"/>
      <c r="AY23" s="301"/>
      <c r="AZ23" s="301"/>
      <c r="BA23" s="301"/>
      <c r="BB23" s="305"/>
      <c r="BC23" s="304"/>
    </row>
    <row r="24" spans="1:55" ht="19.5" customHeight="1">
      <c r="A24" s="240"/>
      <c r="B24" s="256" t="s">
        <v>359</v>
      </c>
      <c r="C24" s="293"/>
      <c r="D24" s="293"/>
      <c r="E24" s="293"/>
      <c r="F24" s="293"/>
      <c r="G24" s="294"/>
      <c r="H24" s="295"/>
      <c r="I24" s="293"/>
      <c r="J24" s="293"/>
      <c r="K24" s="294"/>
      <c r="L24" s="327"/>
      <c r="M24" s="307"/>
      <c r="N24" s="307"/>
      <c r="O24" s="309"/>
      <c r="P24" s="328"/>
      <c r="Q24" s="307"/>
      <c r="R24" s="307"/>
      <c r="S24" s="309"/>
      <c r="T24" s="307"/>
      <c r="U24" s="307"/>
      <c r="V24" s="307"/>
      <c r="W24" s="307"/>
      <c r="X24" s="309"/>
      <c r="Y24" s="328"/>
      <c r="Z24" s="307"/>
      <c r="AA24" s="307"/>
      <c r="AB24" s="309"/>
      <c r="AC24" s="292"/>
      <c r="AD24" s="293"/>
      <c r="AE24" s="293"/>
      <c r="AF24" s="293"/>
      <c r="AG24" s="294"/>
      <c r="AH24" s="295"/>
      <c r="AI24" s="293"/>
      <c r="AJ24" s="293"/>
      <c r="AK24" s="294"/>
      <c r="AL24" s="295"/>
      <c r="AM24" s="293"/>
      <c r="AN24" s="293"/>
      <c r="AO24" s="294"/>
      <c r="AP24" s="293"/>
      <c r="AQ24" s="293"/>
      <c r="AR24" s="293"/>
      <c r="AS24" s="293"/>
      <c r="AT24" s="294"/>
      <c r="AU24" s="295"/>
      <c r="AV24" s="293"/>
      <c r="AW24" s="293"/>
      <c r="AX24" s="296"/>
      <c r="AY24" s="293"/>
      <c r="AZ24" s="293"/>
      <c r="BA24" s="293"/>
      <c r="BB24" s="297"/>
      <c r="BC24" s="296"/>
    </row>
    <row r="25" spans="1:55" ht="19.5" customHeight="1">
      <c r="A25" s="240"/>
      <c r="B25" s="249" t="s">
        <v>360</v>
      </c>
      <c r="C25" s="301"/>
      <c r="D25" s="301"/>
      <c r="E25" s="301"/>
      <c r="F25" s="301"/>
      <c r="G25" s="302"/>
      <c r="H25" s="303"/>
      <c r="I25" s="301"/>
      <c r="J25" s="301"/>
      <c r="K25" s="302"/>
      <c r="L25" s="326"/>
      <c r="M25" s="299"/>
      <c r="N25" s="299"/>
      <c r="O25" s="314"/>
      <c r="P25" s="313"/>
      <c r="Q25" s="299"/>
      <c r="R25" s="299"/>
      <c r="S25" s="314"/>
      <c r="T25" s="299"/>
      <c r="U25" s="299"/>
      <c r="V25" s="299"/>
      <c r="W25" s="299"/>
      <c r="X25" s="314"/>
      <c r="Y25" s="313"/>
      <c r="Z25" s="299"/>
      <c r="AA25" s="299"/>
      <c r="AB25" s="314"/>
      <c r="AC25" s="300"/>
      <c r="AD25" s="301"/>
      <c r="AE25" s="301"/>
      <c r="AF25" s="301"/>
      <c r="AG25" s="302"/>
      <c r="AH25" s="303"/>
      <c r="AI25" s="301"/>
      <c r="AJ25" s="301"/>
      <c r="AK25" s="302"/>
      <c r="AL25" s="303"/>
      <c r="AM25" s="301"/>
      <c r="AN25" s="301"/>
      <c r="AO25" s="302"/>
      <c r="AP25" s="301"/>
      <c r="AQ25" s="301"/>
      <c r="AR25" s="301"/>
      <c r="AS25" s="301"/>
      <c r="AT25" s="302"/>
      <c r="AU25" s="303"/>
      <c r="AV25" s="301"/>
      <c r="AW25" s="301"/>
      <c r="AX25" s="304"/>
      <c r="AY25" s="301"/>
      <c r="AZ25" s="301"/>
      <c r="BA25" s="301"/>
      <c r="BB25" s="305"/>
      <c r="BC25" s="304"/>
    </row>
    <row r="26" spans="1:55" ht="19.5" customHeight="1">
      <c r="A26" s="240"/>
      <c r="B26" s="248" t="s">
        <v>361</v>
      </c>
      <c r="C26" s="293"/>
      <c r="D26" s="293"/>
      <c r="E26" s="293"/>
      <c r="F26" s="293"/>
      <c r="G26" s="294"/>
      <c r="H26" s="295"/>
      <c r="I26" s="293"/>
      <c r="J26" s="293"/>
      <c r="K26" s="294"/>
      <c r="L26" s="327"/>
      <c r="M26" s="307"/>
      <c r="N26" s="307"/>
      <c r="O26" s="309"/>
      <c r="P26" s="328"/>
      <c r="Q26" s="307"/>
      <c r="R26" s="307"/>
      <c r="S26" s="309"/>
      <c r="T26" s="307"/>
      <c r="U26" s="307"/>
      <c r="V26" s="307"/>
      <c r="W26" s="307"/>
      <c r="X26" s="309"/>
      <c r="Y26" s="328"/>
      <c r="Z26" s="307"/>
      <c r="AA26" s="307"/>
      <c r="AB26" s="309"/>
      <c r="AC26" s="292"/>
      <c r="AD26" s="293"/>
      <c r="AE26" s="293"/>
      <c r="AF26" s="293"/>
      <c r="AG26" s="294"/>
      <c r="AH26" s="295"/>
      <c r="AI26" s="293"/>
      <c r="AJ26" s="293"/>
      <c r="AK26" s="294"/>
      <c r="AL26" s="295"/>
      <c r="AM26" s="293"/>
      <c r="AN26" s="293"/>
      <c r="AO26" s="294"/>
      <c r="AP26" s="293"/>
      <c r="AQ26" s="293"/>
      <c r="AR26" s="293"/>
      <c r="AS26" s="293"/>
      <c r="AT26" s="294"/>
      <c r="AU26" s="295"/>
      <c r="AV26" s="293"/>
      <c r="AW26" s="293"/>
      <c r="AX26" s="296"/>
      <c r="AY26" s="293"/>
      <c r="AZ26" s="293"/>
      <c r="BA26" s="293"/>
      <c r="BB26" s="297"/>
      <c r="BC26" s="296"/>
    </row>
    <row r="27" spans="1:55" ht="19.5" customHeight="1">
      <c r="A27" s="240"/>
      <c r="B27" s="257" t="s">
        <v>362</v>
      </c>
      <c r="C27" s="301"/>
      <c r="D27" s="301"/>
      <c r="E27" s="301"/>
      <c r="F27" s="301"/>
      <c r="G27" s="302"/>
      <c r="H27" s="303"/>
      <c r="I27" s="301"/>
      <c r="J27" s="301"/>
      <c r="K27" s="302"/>
      <c r="L27" s="326"/>
      <c r="M27" s="299"/>
      <c r="N27" s="299"/>
      <c r="O27" s="314"/>
      <c r="P27" s="313"/>
      <c r="Q27" s="299"/>
      <c r="R27" s="299"/>
      <c r="S27" s="314"/>
      <c r="T27" s="299"/>
      <c r="U27" s="299"/>
      <c r="V27" s="299"/>
      <c r="W27" s="299"/>
      <c r="X27" s="314"/>
      <c r="Y27" s="313"/>
      <c r="Z27" s="299"/>
      <c r="AA27" s="299"/>
      <c r="AB27" s="314"/>
      <c r="AC27" s="300"/>
      <c r="AD27" s="301"/>
      <c r="AE27" s="301"/>
      <c r="AF27" s="301"/>
      <c r="AG27" s="302"/>
      <c r="AH27" s="303"/>
      <c r="AI27" s="301"/>
      <c r="AJ27" s="301"/>
      <c r="AK27" s="302"/>
      <c r="AL27" s="303"/>
      <c r="AM27" s="301"/>
      <c r="AN27" s="301"/>
      <c r="AO27" s="302"/>
      <c r="AP27" s="301"/>
      <c r="AQ27" s="301"/>
      <c r="AR27" s="301"/>
      <c r="AS27" s="301"/>
      <c r="AT27" s="302"/>
      <c r="AU27" s="303"/>
      <c r="AV27" s="301"/>
      <c r="AW27" s="301"/>
      <c r="AX27" s="304"/>
      <c r="AY27" s="301"/>
      <c r="AZ27" s="301"/>
      <c r="BA27" s="301"/>
      <c r="BB27" s="305"/>
      <c r="BC27" s="304"/>
    </row>
    <row r="28" spans="1:55" ht="19.5" customHeight="1">
      <c r="A28" s="240"/>
      <c r="B28" s="241" t="s">
        <v>363</v>
      </c>
      <c r="C28" s="293"/>
      <c r="D28" s="293"/>
      <c r="E28" s="293"/>
      <c r="F28" s="293"/>
      <c r="G28" s="294"/>
      <c r="H28" s="295"/>
      <c r="I28" s="293"/>
      <c r="J28" s="293"/>
      <c r="K28" s="294"/>
      <c r="L28" s="327"/>
      <c r="M28" s="329" t="s">
        <v>395</v>
      </c>
      <c r="N28" s="307"/>
      <c r="O28" s="309"/>
      <c r="P28" s="328"/>
      <c r="Q28" s="307"/>
      <c r="R28" s="307"/>
      <c r="S28" s="309"/>
      <c r="T28" s="307"/>
      <c r="U28" s="307"/>
      <c r="V28" s="306"/>
      <c r="W28" s="329" t="s">
        <v>393</v>
      </c>
      <c r="X28" s="330"/>
      <c r="Y28" s="331"/>
      <c r="Z28" s="332"/>
      <c r="AA28" s="332"/>
      <c r="AB28" s="333"/>
      <c r="AC28" s="307"/>
      <c r="AD28" s="307"/>
      <c r="AE28" s="307"/>
      <c r="AF28" s="307"/>
      <c r="AG28" s="334" t="s">
        <v>394</v>
      </c>
      <c r="AH28" s="335"/>
      <c r="AI28" s="293"/>
      <c r="AJ28" s="293"/>
      <c r="AK28" s="294"/>
      <c r="AL28" s="295"/>
      <c r="AM28" s="293"/>
      <c r="AN28" s="293"/>
      <c r="AO28" s="294"/>
      <c r="AP28" s="293"/>
      <c r="AQ28" s="293"/>
      <c r="AR28" s="293"/>
      <c r="AS28" s="293"/>
      <c r="AT28" s="294"/>
      <c r="AU28" s="295"/>
      <c r="AV28" s="293"/>
      <c r="AW28" s="293"/>
      <c r="AX28" s="296"/>
      <c r="AY28" s="293"/>
      <c r="AZ28" s="293"/>
      <c r="BA28" s="293"/>
      <c r="BB28" s="297"/>
      <c r="BC28" s="296"/>
    </row>
    <row r="29" spans="1:55" ht="19.5" customHeight="1">
      <c r="A29" s="240"/>
      <c r="B29" s="244" t="s">
        <v>366</v>
      </c>
      <c r="C29" s="301"/>
      <c r="D29" s="301"/>
      <c r="E29" s="301"/>
      <c r="F29" s="301"/>
      <c r="G29" s="302"/>
      <c r="H29" s="303"/>
      <c r="I29" s="301"/>
      <c r="J29" s="301"/>
      <c r="K29" s="302"/>
      <c r="L29" s="326"/>
      <c r="M29" s="336" t="s">
        <v>395</v>
      </c>
      <c r="N29" s="299"/>
      <c r="O29" s="314"/>
      <c r="P29" s="313"/>
      <c r="Q29" s="299"/>
      <c r="R29" s="299"/>
      <c r="S29" s="314"/>
      <c r="T29" s="299"/>
      <c r="U29" s="299"/>
      <c r="V29" s="337"/>
      <c r="W29" s="337"/>
      <c r="X29" s="338"/>
      <c r="Y29" s="339"/>
      <c r="Z29" s="337"/>
      <c r="AA29" s="340"/>
      <c r="AB29" s="333" t="s">
        <v>393</v>
      </c>
      <c r="AC29" s="307"/>
      <c r="AD29" s="307"/>
      <c r="AE29" s="307"/>
      <c r="AF29" s="307"/>
      <c r="AG29" s="334" t="s">
        <v>394</v>
      </c>
      <c r="AH29" s="335"/>
      <c r="AI29" s="301"/>
      <c r="AJ29" s="301"/>
      <c r="AK29" s="302"/>
      <c r="AL29" s="303"/>
      <c r="AM29" s="301"/>
      <c r="AN29" s="301"/>
      <c r="AO29" s="302"/>
      <c r="AP29" s="301"/>
      <c r="AQ29" s="301"/>
      <c r="AR29" s="301"/>
      <c r="AS29" s="301"/>
      <c r="AT29" s="302"/>
      <c r="AU29" s="303"/>
      <c r="AV29" s="301"/>
      <c r="AW29" s="301"/>
      <c r="AX29" s="304"/>
      <c r="AY29" s="301"/>
      <c r="AZ29" s="301"/>
      <c r="BA29" s="301"/>
      <c r="BB29" s="305"/>
      <c r="BC29" s="304"/>
    </row>
    <row r="30" spans="1:55" ht="19.5" customHeight="1">
      <c r="A30" s="240"/>
      <c r="B30" s="241" t="s">
        <v>367</v>
      </c>
      <c r="C30" s="293"/>
      <c r="D30" s="293"/>
      <c r="E30" s="293"/>
      <c r="F30" s="293"/>
      <c r="G30" s="294"/>
      <c r="H30" s="341"/>
      <c r="I30" s="342"/>
      <c r="J30" s="342"/>
      <c r="K30" s="343"/>
      <c r="L30" s="341"/>
      <c r="M30" s="342"/>
      <c r="N30" s="342"/>
      <c r="O30" s="343"/>
      <c r="P30" s="341"/>
      <c r="Q30" s="342"/>
      <c r="R30" s="342"/>
      <c r="S30" s="343"/>
      <c r="T30" s="342"/>
      <c r="U30" s="342"/>
      <c r="V30" s="342"/>
      <c r="W30" s="342"/>
      <c r="X30" s="343"/>
      <c r="Y30" s="341"/>
      <c r="Z30" s="342"/>
      <c r="AA30" s="342"/>
      <c r="AB30" s="343"/>
      <c r="AC30" s="342"/>
      <c r="AD30" s="342"/>
      <c r="AE30" s="342"/>
      <c r="AF30" s="342"/>
      <c r="AG30" s="343"/>
      <c r="AH30" s="341"/>
      <c r="AI30" s="342"/>
      <c r="AJ30" s="342"/>
      <c r="AK30" s="343"/>
      <c r="AL30" s="341"/>
      <c r="AM30" s="342"/>
      <c r="AN30" s="342"/>
      <c r="AO30" s="343"/>
      <c r="AP30" s="342"/>
      <c r="AQ30" s="342"/>
      <c r="AR30" s="342"/>
      <c r="AS30" s="342"/>
      <c r="AT30" s="343"/>
      <c r="AU30" s="341"/>
      <c r="AV30" s="342"/>
      <c r="AW30" s="342"/>
      <c r="AX30" s="344"/>
      <c r="AY30" s="342"/>
      <c r="AZ30" s="342"/>
      <c r="BA30" s="342"/>
      <c r="BB30" s="345"/>
      <c r="BC30" s="344"/>
    </row>
    <row r="31" spans="1:55" ht="19.5" customHeight="1">
      <c r="A31" s="240"/>
      <c r="B31" s="249" t="s">
        <v>368</v>
      </c>
      <c r="C31" s="301"/>
      <c r="D31" s="301"/>
      <c r="E31" s="301"/>
      <c r="F31" s="301"/>
      <c r="G31" s="302"/>
      <c r="H31" s="313"/>
      <c r="I31" s="299"/>
      <c r="J31" s="299"/>
      <c r="K31" s="314"/>
      <c r="L31" s="313"/>
      <c r="M31" s="299"/>
      <c r="N31" s="299"/>
      <c r="O31" s="315"/>
      <c r="P31" s="313"/>
      <c r="Q31" s="300"/>
      <c r="R31" s="299"/>
      <c r="S31" s="314"/>
      <c r="T31" s="300"/>
      <c r="U31" s="299"/>
      <c r="V31" s="299"/>
      <c r="W31" s="299"/>
      <c r="X31" s="314"/>
      <c r="Y31" s="346"/>
      <c r="Z31" s="299"/>
      <c r="AA31" s="299"/>
      <c r="AB31" s="314"/>
      <c r="AC31" s="300"/>
      <c r="AD31" s="299"/>
      <c r="AE31" s="299"/>
      <c r="AF31" s="299"/>
      <c r="AG31" s="314"/>
      <c r="AH31" s="346"/>
      <c r="AI31" s="299"/>
      <c r="AJ31" s="299"/>
      <c r="AK31" s="314"/>
      <c r="AL31" s="313"/>
      <c r="AM31" s="299"/>
      <c r="AN31" s="299"/>
      <c r="AO31" s="314"/>
      <c r="AP31" s="299"/>
      <c r="AQ31" s="299"/>
      <c r="AR31" s="299"/>
      <c r="AS31" s="299"/>
      <c r="AT31" s="314"/>
      <c r="AU31" s="346"/>
      <c r="AV31" s="299"/>
      <c r="AW31" s="299"/>
      <c r="AX31" s="304"/>
      <c r="AY31" s="300"/>
      <c r="AZ31" s="299"/>
      <c r="BA31" s="299"/>
      <c r="BB31" s="305"/>
      <c r="BC31" s="304"/>
    </row>
    <row r="32" spans="1:55" ht="19.5" customHeight="1">
      <c r="A32" s="240"/>
      <c r="B32" s="347" t="s">
        <v>372</v>
      </c>
      <c r="C32" s="342"/>
      <c r="D32" s="342"/>
      <c r="E32" s="342"/>
      <c r="F32" s="342"/>
      <c r="G32" s="343"/>
      <c r="H32" s="348"/>
      <c r="I32" s="349"/>
      <c r="J32" s="349"/>
      <c r="K32" s="350"/>
      <c r="L32" s="351"/>
      <c r="M32" s="349"/>
      <c r="N32" s="349"/>
      <c r="O32" s="350"/>
      <c r="P32" s="351"/>
      <c r="Q32" s="352" t="s">
        <v>396</v>
      </c>
      <c r="R32" s="353"/>
      <c r="S32" s="350"/>
      <c r="T32" s="349"/>
      <c r="U32" s="349"/>
      <c r="V32" s="349"/>
      <c r="W32" s="349"/>
      <c r="X32" s="350"/>
      <c r="Y32" s="351"/>
      <c r="Z32" s="349"/>
      <c r="AA32" s="349"/>
      <c r="AB32" s="350"/>
      <c r="AC32" s="349"/>
      <c r="AD32" s="349"/>
      <c r="AE32" s="349"/>
      <c r="AF32" s="349"/>
      <c r="AG32" s="350"/>
      <c r="AH32" s="351"/>
      <c r="AI32" s="349"/>
      <c r="AJ32" s="349"/>
      <c r="AK32" s="350"/>
      <c r="AL32" s="351"/>
      <c r="AM32" s="349"/>
      <c r="AN32" s="349"/>
      <c r="AO32" s="350"/>
      <c r="AP32" s="349"/>
      <c r="AQ32" s="349"/>
      <c r="AR32" s="349"/>
      <c r="AS32" s="354" t="s">
        <v>397</v>
      </c>
      <c r="AT32" s="355"/>
      <c r="AU32" s="356"/>
      <c r="AV32" s="353"/>
      <c r="AW32" s="353"/>
      <c r="AX32" s="357"/>
      <c r="AY32" s="353"/>
      <c r="AZ32" s="353"/>
      <c r="BA32" s="353"/>
      <c r="BB32" s="358"/>
      <c r="BC32" s="357"/>
    </row>
    <row r="33" spans="1:55" ht="19.5" customHeight="1">
      <c r="A33" s="240"/>
      <c r="B33" s="257" t="s">
        <v>373</v>
      </c>
      <c r="C33" s="301"/>
      <c r="D33" s="301"/>
      <c r="E33" s="301"/>
      <c r="F33" s="301"/>
      <c r="G33" s="302"/>
      <c r="H33" s="359"/>
      <c r="I33" s="299"/>
      <c r="J33" s="299"/>
      <c r="K33" s="314"/>
      <c r="L33" s="360"/>
      <c r="M33" s="299"/>
      <c r="N33" s="299"/>
      <c r="O33" s="314"/>
      <c r="P33" s="360"/>
      <c r="Q33" s="361" t="s">
        <v>396</v>
      </c>
      <c r="R33" s="300"/>
      <c r="S33" s="302"/>
      <c r="T33" s="301"/>
      <c r="U33" s="301"/>
      <c r="V33" s="301"/>
      <c r="W33" s="301"/>
      <c r="X33" s="302"/>
      <c r="Y33" s="303"/>
      <c r="Z33" s="301"/>
      <c r="AA33" s="301"/>
      <c r="AB33" s="302"/>
      <c r="AC33" s="301"/>
      <c r="AD33" s="301"/>
      <c r="AE33" s="301"/>
      <c r="AF33" s="301"/>
      <c r="AG33" s="302"/>
      <c r="AH33" s="303"/>
      <c r="AI33" s="301"/>
      <c r="AJ33" s="301"/>
      <c r="AK33" s="302"/>
      <c r="AL33" s="303"/>
      <c r="AM33" s="301"/>
      <c r="AN33" s="301"/>
      <c r="AO33" s="302"/>
      <c r="AP33" s="301"/>
      <c r="AQ33" s="301"/>
      <c r="AR33" s="301"/>
      <c r="AS33" s="301"/>
      <c r="AT33" s="302"/>
      <c r="AU33" s="303"/>
      <c r="AV33" s="301"/>
      <c r="AW33" s="301"/>
      <c r="AX33" s="304"/>
      <c r="AY33" s="301"/>
      <c r="AZ33" s="301"/>
      <c r="BA33" s="301"/>
      <c r="BB33" s="305"/>
      <c r="BC33" s="304"/>
    </row>
    <row r="34" spans="1:55" ht="19.5" customHeight="1" thickBot="1">
      <c r="A34" s="251"/>
      <c r="B34" s="260" t="s">
        <v>374</v>
      </c>
      <c r="C34" s="362"/>
      <c r="D34" s="362"/>
      <c r="E34" s="362"/>
      <c r="F34" s="362"/>
      <c r="G34" s="363"/>
      <c r="H34" s="364"/>
      <c r="I34" s="365"/>
      <c r="J34" s="365"/>
      <c r="K34" s="366"/>
      <c r="L34" s="367"/>
      <c r="M34" s="365"/>
      <c r="N34" s="365"/>
      <c r="O34" s="366"/>
      <c r="P34" s="367"/>
      <c r="Q34" s="368" t="s">
        <v>398</v>
      </c>
      <c r="R34" s="369"/>
      <c r="S34" s="366"/>
      <c r="T34" s="365"/>
      <c r="U34" s="365"/>
      <c r="V34" s="365"/>
      <c r="W34" s="365"/>
      <c r="X34" s="366"/>
      <c r="Y34" s="367"/>
      <c r="Z34" s="365"/>
      <c r="AA34" s="365"/>
      <c r="AB34" s="366"/>
      <c r="AC34" s="365"/>
      <c r="AD34" s="365"/>
      <c r="AE34" s="365"/>
      <c r="AF34" s="365"/>
      <c r="AG34" s="370" t="s">
        <v>399</v>
      </c>
      <c r="AH34" s="371"/>
      <c r="AI34" s="362"/>
      <c r="AJ34" s="362"/>
      <c r="AK34" s="363"/>
      <c r="AL34" s="372"/>
      <c r="AM34" s="362"/>
      <c r="AN34" s="362"/>
      <c r="AO34" s="363"/>
      <c r="AP34" s="362"/>
      <c r="AQ34" s="362"/>
      <c r="AR34" s="362"/>
      <c r="AS34" s="362"/>
      <c r="AT34" s="363"/>
      <c r="AU34" s="372"/>
      <c r="AV34" s="362"/>
      <c r="AW34" s="362"/>
      <c r="AX34" s="373"/>
      <c r="AY34" s="362"/>
      <c r="AZ34" s="362"/>
      <c r="BA34" s="362"/>
      <c r="BB34" s="374"/>
      <c r="BC34" s="373"/>
    </row>
    <row r="35" spans="1:55" ht="19.5" customHeight="1">
      <c r="A35" s="263"/>
      <c r="B35" s="264"/>
      <c r="C35" s="375"/>
      <c r="D35" s="375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5"/>
      <c r="T35" s="375"/>
      <c r="U35" s="375"/>
      <c r="V35" s="375"/>
      <c r="W35" s="375"/>
      <c r="X35" s="375"/>
      <c r="Y35" s="375"/>
      <c r="Z35" s="375"/>
      <c r="AA35" s="375"/>
      <c r="AB35" s="375"/>
      <c r="AC35" s="375"/>
      <c r="AD35" s="375"/>
      <c r="AE35" s="375"/>
      <c r="AF35" s="375"/>
      <c r="AG35" s="375"/>
      <c r="AH35" s="375"/>
      <c r="AI35" s="375"/>
      <c r="AJ35" s="375"/>
      <c r="AK35" s="375"/>
      <c r="AL35" s="375"/>
      <c r="AM35" s="375"/>
      <c r="AN35" s="375"/>
      <c r="AO35" s="375"/>
      <c r="AP35" s="375"/>
      <c r="AQ35" s="375"/>
      <c r="AR35" s="375"/>
      <c r="AS35" s="375"/>
      <c r="AT35" s="375"/>
      <c r="AU35" s="375"/>
      <c r="AV35" s="375"/>
      <c r="AW35" s="375"/>
      <c r="AX35" s="375"/>
      <c r="AY35" s="375"/>
      <c r="AZ35" s="375"/>
      <c r="BA35" s="375"/>
      <c r="BB35" s="375"/>
      <c r="BC35" s="375"/>
    </row>
    <row r="36" spans="3:55" s="234" customFormat="1" ht="19.5" customHeight="1">
      <c r="C36" s="377"/>
      <c r="D36" s="378"/>
      <c r="E36" s="379" t="s">
        <v>393</v>
      </c>
      <c r="F36" s="380"/>
      <c r="G36" s="380"/>
      <c r="H36" s="380"/>
      <c r="I36" s="381"/>
      <c r="L36" s="273"/>
      <c r="M36" s="382"/>
      <c r="N36" s="379" t="s">
        <v>400</v>
      </c>
      <c r="O36" s="380"/>
      <c r="P36" s="380"/>
      <c r="Q36" s="380"/>
      <c r="R36" s="381"/>
      <c r="S36" s="383"/>
      <c r="T36" s="383"/>
      <c r="U36" s="384"/>
      <c r="V36" s="379" t="s">
        <v>401</v>
      </c>
      <c r="W36" s="380"/>
      <c r="X36" s="380"/>
      <c r="Y36" s="380"/>
      <c r="Z36" s="381"/>
      <c r="AX36" s="385"/>
      <c r="AY36" s="385"/>
      <c r="AZ36" s="385"/>
      <c r="BA36" s="385"/>
      <c r="BB36" s="385"/>
      <c r="BC36" s="385"/>
    </row>
    <row r="37" s="234" customFormat="1" ht="19.5" customHeight="1"/>
    <row r="38" spans="5:6" s="234" customFormat="1" ht="19.5" customHeight="1">
      <c r="E38" s="386"/>
      <c r="F38" s="386"/>
    </row>
    <row r="39" spans="1:55" ht="19.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</row>
    <row r="40" s="234" customFormat="1" ht="19.5" customHeight="1"/>
    <row r="41" s="234" customFormat="1" ht="19.5" customHeight="1"/>
    <row r="42" s="234" customFormat="1" ht="19.5" customHeight="1"/>
    <row r="43" s="234" customFormat="1" ht="19.5" customHeight="1"/>
    <row r="44" s="234" customFormat="1" ht="19.5" customHeight="1"/>
    <row r="45" s="234" customFormat="1" ht="19.5" customHeight="1"/>
    <row r="46" s="234" customFormat="1" ht="19.5" customHeight="1"/>
    <row r="47" s="234" customFormat="1" ht="19.5" customHeight="1"/>
    <row r="48" s="234" customFormat="1" ht="19.5" customHeight="1"/>
    <row r="49" s="234" customFormat="1" ht="19.5" customHeight="1"/>
    <row r="50" s="234" customFormat="1" ht="19.5" customHeight="1"/>
    <row r="51" spans="1:55" ht="19.5" customHeight="1">
      <c r="A51" s="263"/>
      <c r="B51" s="268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</row>
    <row r="52" spans="1:55" ht="19.5" customHeight="1">
      <c r="A52" s="263"/>
      <c r="B52" s="268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</row>
    <row r="53" spans="1:55" ht="19.5" customHeight="1">
      <c r="A53" s="268"/>
      <c r="B53" s="268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</row>
    <row r="54" spans="1:55" ht="19.5" customHeight="1">
      <c r="A54" s="233"/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</row>
    <row r="55" spans="1:55" ht="19.5" customHeight="1">
      <c r="A55" s="233"/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</row>
    <row r="56" spans="1:55" ht="19.5" customHeight="1">
      <c r="A56" s="23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</row>
    <row r="57" spans="1:55" ht="19.5" customHeight="1">
      <c r="A57" s="233"/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</row>
    <row r="58" spans="1:55" ht="19.5" customHeight="1">
      <c r="A58" s="233"/>
      <c r="B58" s="233"/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</row>
    <row r="59" spans="1:55" ht="19.5" customHeight="1">
      <c r="A59" s="23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</row>
    <row r="60" spans="1:55" ht="19.5" customHeight="1">
      <c r="A60" s="233"/>
      <c r="B60" s="233"/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</row>
    <row r="61" spans="1:55" ht="19.5" customHeight="1">
      <c r="A61" s="233"/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</row>
    <row r="62" spans="1:55" ht="19.5" customHeight="1">
      <c r="A62" s="23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</row>
    <row r="63" spans="1:55" ht="19.5" customHeight="1">
      <c r="A63" s="233"/>
      <c r="B63" s="233"/>
      <c r="C63" s="233"/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</row>
    <row r="64" spans="1:55" ht="19.5" customHeight="1">
      <c r="A64" s="233"/>
      <c r="B64" s="233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</row>
    <row r="65" spans="1:55" ht="19.5" customHeight="1">
      <c r="A65" s="23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</row>
    <row r="66" spans="1:55" ht="19.5" customHeight="1">
      <c r="A66" s="233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</row>
    <row r="67" spans="1:55" ht="19.5" customHeight="1">
      <c r="A67" s="233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</row>
    <row r="68" spans="1:55" ht="19.5" customHeight="1">
      <c r="A68" s="233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</row>
    <row r="69" spans="1:55" ht="19.5" customHeight="1">
      <c r="A69" s="233"/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</row>
    <row r="70" spans="1:55" ht="19.5" customHeight="1">
      <c r="A70" s="233"/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</row>
    <row r="71" spans="1:55" ht="19.5" customHeight="1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</row>
    <row r="72" spans="1:55" ht="19.5" customHeight="1">
      <c r="A72" s="233"/>
      <c r="B72" s="233"/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</row>
    <row r="73" spans="1:55" ht="19.5" customHeight="1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</row>
    <row r="74" spans="1:55" ht="19.5" customHeight="1">
      <c r="A74" s="233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</row>
    <row r="75" spans="1:55" ht="19.5" customHeight="1">
      <c r="A75" s="233"/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</row>
    <row r="76" spans="1:55" ht="19.5" customHeight="1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</row>
    <row r="77" spans="1:55" ht="19.5" customHeight="1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</row>
    <row r="78" spans="1:55" ht="19.5" customHeight="1">
      <c r="A78" s="233"/>
      <c r="B78" s="233"/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</row>
    <row r="79" spans="1:55" ht="19.5" customHeight="1">
      <c r="A79" s="233"/>
      <c r="B79" s="233"/>
      <c r="C79" s="233"/>
      <c r="D79" s="233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  <c r="BB79" s="233"/>
      <c r="BC79" s="233"/>
    </row>
    <row r="80" spans="1:55" ht="19.5" customHeight="1">
      <c r="A80" s="233"/>
      <c r="B80" s="233"/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  <c r="BB80" s="233"/>
      <c r="BC80" s="233"/>
    </row>
    <row r="81" spans="1:55" ht="19.5" customHeight="1">
      <c r="A81" s="233"/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  <c r="BB81" s="233"/>
      <c r="BC81" s="233"/>
    </row>
    <row r="82" spans="1:55" ht="19.5" customHeight="1">
      <c r="A82" s="233"/>
      <c r="B82" s="233"/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  <c r="BB82" s="233"/>
      <c r="BC82" s="233"/>
    </row>
    <row r="83" spans="1:55" ht="19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  <c r="BB83" s="233"/>
      <c r="BC83" s="233"/>
    </row>
    <row r="84" spans="1:55" ht="19.5" customHeight="1">
      <c r="A84" s="233"/>
      <c r="B84" s="233"/>
      <c r="C84" s="233"/>
      <c r="D84" s="233"/>
      <c r="E84" s="233"/>
      <c r="F84" s="233"/>
      <c r="G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  <c r="BB84" s="233"/>
      <c r="BC84" s="233"/>
    </row>
    <row r="85" spans="1:55" ht="19.5" customHeight="1">
      <c r="A85" s="233"/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  <c r="BB85" s="233"/>
      <c r="BC85" s="233"/>
    </row>
    <row r="86" spans="1:55" ht="19.5" customHeight="1">
      <c r="A86" s="233"/>
      <c r="B86" s="233"/>
      <c r="C86" s="233"/>
      <c r="D86" s="233"/>
      <c r="E86" s="233"/>
      <c r="F86" s="233"/>
      <c r="G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  <c r="BB86" s="233"/>
      <c r="BC86" s="233"/>
    </row>
    <row r="87" spans="1:55" ht="19.5" customHeight="1">
      <c r="A87" s="233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  <c r="BB87" s="233"/>
      <c r="BC87" s="233"/>
    </row>
    <row r="88" spans="1:55" ht="19.5" customHeight="1">
      <c r="A88" s="233"/>
      <c r="B88" s="233"/>
      <c r="C88" s="233"/>
      <c r="D88" s="233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  <c r="BB88" s="233"/>
      <c r="BC88" s="233"/>
    </row>
    <row r="89" spans="1:55" ht="19.5" customHeight="1">
      <c r="A89" s="233"/>
      <c r="B89" s="233"/>
      <c r="C89" s="233"/>
      <c r="D89" s="233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  <c r="BB89" s="233"/>
      <c r="BC89" s="233"/>
    </row>
    <row r="90" spans="1:55" ht="19.5" customHeight="1">
      <c r="A90" s="233"/>
      <c r="B90" s="233"/>
      <c r="C90" s="233"/>
      <c r="D90" s="233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  <c r="BB90" s="233"/>
      <c r="BC90" s="233"/>
    </row>
    <row r="91" spans="1:55" ht="19.5" customHeight="1">
      <c r="A91" s="233"/>
      <c r="B91" s="233"/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  <c r="BB91" s="233"/>
      <c r="BC91" s="233"/>
    </row>
    <row r="92" spans="1:55" ht="19.5" customHeight="1">
      <c r="A92" s="233"/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  <c r="BB92" s="233"/>
      <c r="BC92" s="233"/>
    </row>
    <row r="93" spans="1:55" ht="19.5" customHeight="1">
      <c r="A93" s="233"/>
      <c r="B93" s="233"/>
      <c r="C93" s="233"/>
      <c r="D93" s="233"/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</row>
    <row r="94" spans="1:55" ht="19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33"/>
    </row>
    <row r="95" spans="1:55" ht="19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33"/>
    </row>
    <row r="96" spans="1:55" ht="19.5" customHeight="1">
      <c r="A96" s="233"/>
      <c r="B96" s="233"/>
      <c r="C96" s="233"/>
      <c r="D96" s="233"/>
      <c r="E96" s="233"/>
      <c r="F96" s="233"/>
      <c r="G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  <c r="BB96" s="233"/>
      <c r="BC96" s="233"/>
    </row>
    <row r="97" spans="1:55" ht="19.5" customHeight="1">
      <c r="A97" s="233"/>
      <c r="B97" s="233"/>
      <c r="C97" s="233"/>
      <c r="D97" s="233"/>
      <c r="E97" s="233"/>
      <c r="F97" s="233"/>
      <c r="G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  <c r="BB97" s="233"/>
      <c r="BC97" s="233"/>
    </row>
    <row r="98" spans="1:55" ht="19.5" customHeight="1">
      <c r="A98" s="233"/>
      <c r="B98" s="233"/>
      <c r="C98" s="233"/>
      <c r="D98" s="233"/>
      <c r="E98" s="233"/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33"/>
      <c r="AZ98" s="233"/>
      <c r="BA98" s="233"/>
      <c r="BB98" s="233"/>
      <c r="BC98" s="233"/>
    </row>
    <row r="99" spans="1:55" ht="19.5" customHeight="1">
      <c r="A99" s="233"/>
      <c r="B99" s="233"/>
      <c r="C99" s="233"/>
      <c r="D99" s="233"/>
      <c r="E99" s="233"/>
      <c r="F99" s="233"/>
      <c r="G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3"/>
      <c r="BB99" s="233"/>
      <c r="BC99" s="233"/>
    </row>
    <row r="100" spans="1:55" ht="19.5" customHeight="1">
      <c r="A100" s="233"/>
      <c r="B100" s="233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33"/>
      <c r="BB100" s="233"/>
      <c r="BC100" s="233"/>
    </row>
    <row r="101" spans="1:55" ht="19.5" customHeight="1">
      <c r="A101" s="233"/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  <c r="BB101" s="233"/>
      <c r="BC101" s="233"/>
    </row>
    <row r="102" spans="1:55" ht="19.5" customHeight="1">
      <c r="A102" s="233"/>
      <c r="B102" s="233"/>
      <c r="C102" s="233"/>
      <c r="D102" s="233"/>
      <c r="E102" s="233"/>
      <c r="F102" s="233"/>
      <c r="G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233"/>
      <c r="AN102" s="233"/>
      <c r="AO102" s="233"/>
      <c r="AP102" s="233"/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233"/>
      <c r="BB102" s="233"/>
      <c r="BC102" s="233"/>
    </row>
    <row r="103" spans="1:55" ht="19.5" customHeight="1">
      <c r="A103" s="233"/>
      <c r="B103" s="233"/>
      <c r="C103" s="233"/>
      <c r="D103" s="233"/>
      <c r="E103" s="233"/>
      <c r="F103" s="233"/>
      <c r="G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  <c r="BB103" s="233"/>
      <c r="BC103" s="233"/>
    </row>
    <row r="104" spans="1:55" ht="19.5" customHeight="1">
      <c r="A104" s="233"/>
      <c r="B104" s="233"/>
      <c r="C104" s="233"/>
      <c r="D104" s="233"/>
      <c r="E104" s="233"/>
      <c r="F104" s="233"/>
      <c r="G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  <c r="BB104" s="233"/>
      <c r="BC104" s="233"/>
    </row>
    <row r="105" spans="1:55" ht="19.5" customHeight="1">
      <c r="A105" s="233"/>
      <c r="B105" s="233"/>
      <c r="C105" s="233"/>
      <c r="D105" s="233"/>
      <c r="E105" s="233"/>
      <c r="F105" s="233"/>
      <c r="G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233"/>
      <c r="AO105" s="233"/>
      <c r="AP105" s="233"/>
      <c r="AQ105" s="233"/>
      <c r="AR105" s="233"/>
      <c r="AS105" s="233"/>
      <c r="AT105" s="233"/>
      <c r="AU105" s="233"/>
      <c r="AV105" s="233"/>
      <c r="AW105" s="233"/>
      <c r="AX105" s="233"/>
      <c r="AY105" s="233"/>
      <c r="AZ105" s="233"/>
      <c r="BA105" s="233"/>
      <c r="BB105" s="233"/>
      <c r="BC105" s="233"/>
    </row>
    <row r="106" spans="1:55" ht="19.5" customHeight="1">
      <c r="A106" s="233"/>
      <c r="B106" s="233"/>
      <c r="C106" s="233"/>
      <c r="D106" s="233"/>
      <c r="E106" s="233"/>
      <c r="F106" s="233"/>
      <c r="G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3"/>
      <c r="BB106" s="233"/>
      <c r="BC106" s="233"/>
    </row>
    <row r="107" spans="1:55" ht="19.5" customHeight="1">
      <c r="A107" s="233"/>
      <c r="B107" s="233"/>
      <c r="C107" s="233"/>
      <c r="D107" s="233"/>
      <c r="E107" s="233"/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  <c r="BB107" s="233"/>
      <c r="BC107" s="233"/>
    </row>
    <row r="108" spans="1:55" ht="19.5" customHeight="1">
      <c r="A108" s="233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33"/>
      <c r="AU108" s="233"/>
      <c r="AV108" s="233"/>
      <c r="AW108" s="233"/>
      <c r="AX108" s="233"/>
      <c r="AY108" s="233"/>
      <c r="AZ108" s="233"/>
      <c r="BA108" s="233"/>
      <c r="BB108" s="233"/>
      <c r="BC108" s="233"/>
    </row>
    <row r="109" spans="1:55" ht="19.5" customHeight="1">
      <c r="A109" s="233"/>
      <c r="B109" s="233"/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  <c r="AU109" s="233"/>
      <c r="AV109" s="233"/>
      <c r="AW109" s="233"/>
      <c r="AX109" s="233"/>
      <c r="AY109" s="233"/>
      <c r="AZ109" s="233"/>
      <c r="BA109" s="233"/>
      <c r="BB109" s="233"/>
      <c r="BC109" s="233"/>
    </row>
    <row r="110" spans="1:55" ht="19.5" customHeight="1">
      <c r="A110" s="233"/>
      <c r="B110" s="233"/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3"/>
      <c r="BB110" s="233"/>
      <c r="BC110" s="233"/>
    </row>
    <row r="111" spans="1:55" ht="19.5" customHeight="1">
      <c r="A111" s="233"/>
      <c r="B111" s="233"/>
      <c r="C111" s="233"/>
      <c r="D111" s="233"/>
      <c r="E111" s="233"/>
      <c r="F111" s="233"/>
      <c r="G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233"/>
      <c r="BB111" s="233"/>
      <c r="BC111" s="233"/>
    </row>
    <row r="112" spans="1:55" ht="19.5" customHeight="1">
      <c r="A112" s="233"/>
      <c r="B112" s="233"/>
      <c r="C112" s="233"/>
      <c r="D112" s="233"/>
      <c r="E112" s="233"/>
      <c r="F112" s="233"/>
      <c r="G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3"/>
      <c r="BB112" s="233"/>
      <c r="BC112" s="233"/>
    </row>
    <row r="113" spans="1:55" ht="19.5" customHeight="1">
      <c r="A113" s="233"/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  <c r="BB113" s="233"/>
      <c r="BC113" s="233"/>
    </row>
    <row r="114" spans="1:55" ht="19.5" customHeight="1">
      <c r="A114" s="233"/>
      <c r="B114" s="233"/>
      <c r="C114" s="233"/>
      <c r="D114" s="233"/>
      <c r="E114" s="233"/>
      <c r="F114" s="233"/>
      <c r="G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3"/>
      <c r="BB114" s="233"/>
      <c r="BC114" s="233"/>
    </row>
    <row r="115" spans="1:55" ht="19.5" customHeight="1">
      <c r="A115" s="233"/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233"/>
      <c r="AR115" s="233"/>
      <c r="AS115" s="233"/>
      <c r="AT115" s="233"/>
      <c r="AU115" s="233"/>
      <c r="AV115" s="233"/>
      <c r="AW115" s="233"/>
      <c r="AX115" s="233"/>
      <c r="AY115" s="233"/>
      <c r="AZ115" s="233"/>
      <c r="BA115" s="233"/>
      <c r="BB115" s="233"/>
      <c r="BC115" s="233"/>
    </row>
    <row r="116" spans="1:55" ht="19.5" customHeight="1">
      <c r="A116" s="233"/>
      <c r="B116" s="233"/>
      <c r="C116" s="233"/>
      <c r="D116" s="233"/>
      <c r="E116" s="233"/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3"/>
      <c r="AY116" s="233"/>
      <c r="AZ116" s="233"/>
      <c r="BA116" s="233"/>
      <c r="BB116" s="233"/>
      <c r="BC116" s="233"/>
    </row>
    <row r="117" spans="1:55" ht="19.5" customHeight="1">
      <c r="A117" s="233"/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  <c r="BB117" s="233"/>
      <c r="BC117" s="233"/>
    </row>
    <row r="118" spans="1:55" ht="19.5" customHeight="1">
      <c r="A118" s="233"/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  <c r="BB118" s="233"/>
      <c r="BC118" s="233"/>
    </row>
    <row r="119" spans="1:55" ht="19.5" customHeight="1">
      <c r="A119" s="233"/>
      <c r="B119" s="233"/>
      <c r="C119" s="233"/>
      <c r="D119" s="233"/>
      <c r="E119" s="233"/>
      <c r="F119" s="233"/>
      <c r="G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3"/>
      <c r="AS119" s="233"/>
      <c r="AT119" s="233"/>
      <c r="AU119" s="233"/>
      <c r="AV119" s="233"/>
      <c r="AW119" s="233"/>
      <c r="AX119" s="233"/>
      <c r="AY119" s="233"/>
      <c r="AZ119" s="233"/>
      <c r="BA119" s="233"/>
      <c r="BB119" s="233"/>
      <c r="BC119" s="233"/>
    </row>
    <row r="120" spans="1:55" ht="19.5" customHeight="1">
      <c r="A120" s="233"/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3"/>
      <c r="AY120" s="233"/>
      <c r="AZ120" s="233"/>
      <c r="BA120" s="233"/>
      <c r="BB120" s="233"/>
      <c r="BC120" s="233"/>
    </row>
    <row r="121" spans="1:55" ht="19.5" customHeight="1">
      <c r="A121" s="233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3"/>
      <c r="AO121" s="233"/>
      <c r="AP121" s="233"/>
      <c r="AQ121" s="233"/>
      <c r="AR121" s="233"/>
      <c r="AS121" s="233"/>
      <c r="AT121" s="233"/>
      <c r="AU121" s="233"/>
      <c r="AV121" s="233"/>
      <c r="AW121" s="233"/>
      <c r="AX121" s="233"/>
      <c r="AY121" s="233"/>
      <c r="AZ121" s="233"/>
      <c r="BA121" s="233"/>
      <c r="BB121" s="233"/>
      <c r="BC121" s="233"/>
    </row>
    <row r="122" spans="1:55" ht="19.5" customHeight="1">
      <c r="A122" s="233"/>
      <c r="B122" s="233"/>
      <c r="C122" s="233"/>
      <c r="D122" s="233"/>
      <c r="E122" s="233"/>
      <c r="F122" s="233"/>
      <c r="G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3"/>
      <c r="BA122" s="233"/>
      <c r="BB122" s="233"/>
      <c r="BC122" s="233"/>
    </row>
    <row r="123" spans="1:55" ht="19.5" customHeight="1">
      <c r="A123" s="233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  <c r="BB123" s="233"/>
      <c r="BC123" s="233"/>
    </row>
    <row r="124" spans="1:55" ht="19.5" customHeight="1">
      <c r="A124" s="233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  <c r="BB124" s="233"/>
      <c r="BC124" s="233"/>
    </row>
    <row r="125" spans="1:55" ht="19.5" customHeight="1">
      <c r="A125" s="233"/>
      <c r="B125" s="233"/>
      <c r="C125" s="233"/>
      <c r="D125" s="233"/>
      <c r="E125" s="233"/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3"/>
      <c r="AY125" s="233"/>
      <c r="AZ125" s="233"/>
      <c r="BA125" s="233"/>
      <c r="BB125" s="233"/>
      <c r="BC125" s="233"/>
    </row>
    <row r="126" spans="1:55" ht="19.5" customHeight="1">
      <c r="A126" s="233"/>
      <c r="B126" s="233"/>
      <c r="C126" s="233"/>
      <c r="D126" s="233"/>
      <c r="E126" s="233"/>
      <c r="F126" s="233"/>
      <c r="G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233"/>
      <c r="AO126" s="233"/>
      <c r="AP126" s="233"/>
      <c r="AQ126" s="233"/>
      <c r="AR126" s="233"/>
      <c r="AS126" s="233"/>
      <c r="AT126" s="233"/>
      <c r="AU126" s="233"/>
      <c r="AV126" s="233"/>
      <c r="AW126" s="233"/>
      <c r="AX126" s="233"/>
      <c r="AY126" s="233"/>
      <c r="AZ126" s="233"/>
      <c r="BA126" s="233"/>
      <c r="BB126" s="233"/>
      <c r="BC126" s="233"/>
    </row>
    <row r="127" spans="1:55" ht="19.5" customHeight="1">
      <c r="A127" s="233"/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233"/>
      <c r="AO127" s="233"/>
      <c r="AP127" s="233"/>
      <c r="AQ127" s="233"/>
      <c r="AR127" s="233"/>
      <c r="AS127" s="233"/>
      <c r="AT127" s="233"/>
      <c r="AU127" s="233"/>
      <c r="AV127" s="233"/>
      <c r="AW127" s="233"/>
      <c r="AX127" s="233"/>
      <c r="AY127" s="233"/>
      <c r="AZ127" s="233"/>
      <c r="BA127" s="233"/>
      <c r="BB127" s="233"/>
      <c r="BC127" s="233"/>
    </row>
    <row r="128" spans="1:55" ht="19.5" customHeight="1">
      <c r="A128" s="233"/>
      <c r="B128" s="233"/>
      <c r="C128" s="233"/>
      <c r="D128" s="233"/>
      <c r="E128" s="233"/>
      <c r="F128" s="233"/>
      <c r="G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3"/>
      <c r="AY128" s="233"/>
      <c r="AZ128" s="233"/>
      <c r="BA128" s="233"/>
      <c r="BB128" s="233"/>
      <c r="BC128" s="233"/>
    </row>
    <row r="129" spans="1:55" ht="19.5" customHeight="1">
      <c r="A129" s="233"/>
      <c r="B129" s="233"/>
      <c r="C129" s="233"/>
      <c r="D129" s="233"/>
      <c r="E129" s="233"/>
      <c r="F129" s="233"/>
      <c r="G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233"/>
      <c r="AY129" s="233"/>
      <c r="AZ129" s="233"/>
      <c r="BA129" s="233"/>
      <c r="BB129" s="233"/>
      <c r="BC129" s="233"/>
    </row>
    <row r="130" spans="1:55" ht="19.5" customHeight="1">
      <c r="A130" s="233"/>
      <c r="B130" s="233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I130" s="233"/>
      <c r="AJ130" s="233"/>
      <c r="AK130" s="233"/>
      <c r="AL130" s="233"/>
      <c r="AM130" s="233"/>
      <c r="AN130" s="233"/>
      <c r="AO130" s="233"/>
      <c r="AP130" s="233"/>
      <c r="AQ130" s="233"/>
      <c r="AR130" s="233"/>
      <c r="AS130" s="233"/>
      <c r="AT130" s="233"/>
      <c r="AU130" s="233"/>
      <c r="AV130" s="233"/>
      <c r="AW130" s="233"/>
      <c r="AX130" s="233"/>
      <c r="AY130" s="233"/>
      <c r="AZ130" s="233"/>
      <c r="BA130" s="233"/>
      <c r="BB130" s="233"/>
      <c r="BC130" s="233"/>
    </row>
    <row r="131" spans="1:55" ht="19.5" customHeight="1">
      <c r="A131" s="233"/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  <c r="AQ131" s="233"/>
      <c r="AR131" s="233"/>
      <c r="AS131" s="233"/>
      <c r="AT131" s="233"/>
      <c r="AU131" s="233"/>
      <c r="AV131" s="233"/>
      <c r="AW131" s="233"/>
      <c r="AX131" s="233"/>
      <c r="AY131" s="233"/>
      <c r="AZ131" s="233"/>
      <c r="BA131" s="233"/>
      <c r="BB131" s="233"/>
      <c r="BC131" s="233"/>
    </row>
    <row r="132" spans="1:55" ht="19.5" customHeight="1">
      <c r="A132" s="233"/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233"/>
      <c r="AN132" s="233"/>
      <c r="AO132" s="233"/>
      <c r="AP132" s="233"/>
      <c r="AQ132" s="233"/>
      <c r="AR132" s="233"/>
      <c r="AS132" s="233"/>
      <c r="AT132" s="233"/>
      <c r="AU132" s="233"/>
      <c r="AV132" s="233"/>
      <c r="AW132" s="233"/>
      <c r="AX132" s="233"/>
      <c r="AY132" s="233"/>
      <c r="AZ132" s="233"/>
      <c r="BA132" s="233"/>
      <c r="BB132" s="233"/>
      <c r="BC132" s="233"/>
    </row>
    <row r="133" spans="1:55" ht="19.5" customHeight="1">
      <c r="A133" s="233"/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  <c r="AQ133" s="233"/>
      <c r="AR133" s="233"/>
      <c r="AS133" s="233"/>
      <c r="AT133" s="233"/>
      <c r="AU133" s="233"/>
      <c r="AV133" s="233"/>
      <c r="AW133" s="233"/>
      <c r="AX133" s="233"/>
      <c r="AY133" s="233"/>
      <c r="AZ133" s="233"/>
      <c r="BA133" s="233"/>
      <c r="BB133" s="233"/>
      <c r="BC133" s="233"/>
    </row>
    <row r="134" spans="1:55" ht="19.5" customHeight="1">
      <c r="A134" s="233"/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233"/>
      <c r="AO134" s="233"/>
      <c r="AP134" s="233"/>
      <c r="AQ134" s="233"/>
      <c r="AR134" s="233"/>
      <c r="AS134" s="233"/>
      <c r="AT134" s="233"/>
      <c r="AU134" s="233"/>
      <c r="AV134" s="233"/>
      <c r="AW134" s="233"/>
      <c r="AX134" s="233"/>
      <c r="AY134" s="233"/>
      <c r="AZ134" s="233"/>
      <c r="BA134" s="233"/>
      <c r="BB134" s="233"/>
      <c r="BC134" s="233"/>
    </row>
    <row r="135" spans="1:55" ht="19.5" customHeight="1">
      <c r="A135" s="233"/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233"/>
      <c r="AJ135" s="233"/>
      <c r="AK135" s="233"/>
      <c r="AL135" s="233"/>
      <c r="AM135" s="233"/>
      <c r="AN135" s="233"/>
      <c r="AO135" s="233"/>
      <c r="AP135" s="233"/>
      <c r="AQ135" s="233"/>
      <c r="AR135" s="233"/>
      <c r="AS135" s="233"/>
      <c r="AT135" s="233"/>
      <c r="AU135" s="233"/>
      <c r="AV135" s="233"/>
      <c r="AW135" s="233"/>
      <c r="AX135" s="233"/>
      <c r="AY135" s="233"/>
      <c r="AZ135" s="233"/>
      <c r="BA135" s="233"/>
      <c r="BB135" s="233"/>
      <c r="BC135" s="233"/>
    </row>
    <row r="136" spans="1:55" ht="19.5" customHeight="1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  <c r="AH136" s="233"/>
      <c r="AI136" s="233"/>
      <c r="AJ136" s="233"/>
      <c r="AK136" s="233"/>
      <c r="AL136" s="233"/>
      <c r="AM136" s="233"/>
      <c r="AN136" s="233"/>
      <c r="AO136" s="233"/>
      <c r="AP136" s="233"/>
      <c r="AQ136" s="233"/>
      <c r="AR136" s="233"/>
      <c r="AS136" s="233"/>
      <c r="AT136" s="233"/>
      <c r="AU136" s="233"/>
      <c r="AV136" s="233"/>
      <c r="AW136" s="233"/>
      <c r="AX136" s="233"/>
      <c r="AY136" s="233"/>
      <c r="AZ136" s="233"/>
      <c r="BA136" s="233"/>
      <c r="BB136" s="233"/>
      <c r="BC136" s="233"/>
    </row>
    <row r="137" spans="1:55" ht="19.5" customHeight="1">
      <c r="A137" s="233"/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I137" s="233"/>
      <c r="AJ137" s="233"/>
      <c r="AK137" s="233"/>
      <c r="AL137" s="233"/>
      <c r="AM137" s="233"/>
      <c r="AN137" s="233"/>
      <c r="AO137" s="233"/>
      <c r="AP137" s="233"/>
      <c r="AQ137" s="233"/>
      <c r="AR137" s="233"/>
      <c r="AS137" s="233"/>
      <c r="AT137" s="233"/>
      <c r="AU137" s="233"/>
      <c r="AV137" s="233"/>
      <c r="AW137" s="233"/>
      <c r="AX137" s="233"/>
      <c r="AY137" s="233"/>
      <c r="AZ137" s="233"/>
      <c r="BA137" s="233"/>
      <c r="BB137" s="233"/>
      <c r="BC137" s="233"/>
    </row>
    <row r="138" spans="1:55" ht="19.5" customHeight="1">
      <c r="A138" s="233"/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233"/>
      <c r="AJ138" s="233"/>
      <c r="AK138" s="233"/>
      <c r="AL138" s="233"/>
      <c r="AM138" s="233"/>
      <c r="AN138" s="233"/>
      <c r="AO138" s="233"/>
      <c r="AP138" s="233"/>
      <c r="AQ138" s="233"/>
      <c r="AR138" s="233"/>
      <c r="AS138" s="233"/>
      <c r="AT138" s="233"/>
      <c r="AU138" s="233"/>
      <c r="AV138" s="233"/>
      <c r="AW138" s="233"/>
      <c r="AX138" s="233"/>
      <c r="AY138" s="233"/>
      <c r="AZ138" s="233"/>
      <c r="BA138" s="233"/>
      <c r="BB138" s="233"/>
      <c r="BC138" s="233"/>
    </row>
    <row r="139" spans="1:55" ht="19.5" customHeight="1">
      <c r="A139" s="233"/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233"/>
      <c r="AJ139" s="233"/>
      <c r="AK139" s="233"/>
      <c r="AL139" s="233"/>
      <c r="AM139" s="233"/>
      <c r="AN139" s="233"/>
      <c r="AO139" s="233"/>
      <c r="AP139" s="233"/>
      <c r="AQ139" s="233"/>
      <c r="AR139" s="233"/>
      <c r="AS139" s="233"/>
      <c r="AT139" s="233"/>
      <c r="AU139" s="233"/>
      <c r="AV139" s="233"/>
      <c r="AW139" s="233"/>
      <c r="AX139" s="233"/>
      <c r="AY139" s="233"/>
      <c r="AZ139" s="233"/>
      <c r="BA139" s="233"/>
      <c r="BB139" s="233"/>
      <c r="BC139" s="233"/>
    </row>
    <row r="140" spans="1:55" ht="19.5" customHeight="1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233"/>
      <c r="AJ140" s="233"/>
      <c r="AK140" s="233"/>
      <c r="AL140" s="233"/>
      <c r="AM140" s="233"/>
      <c r="AN140" s="233"/>
      <c r="AO140" s="233"/>
      <c r="AP140" s="233"/>
      <c r="AQ140" s="233"/>
      <c r="AR140" s="233"/>
      <c r="AS140" s="233"/>
      <c r="AT140" s="233"/>
      <c r="AU140" s="233"/>
      <c r="AV140" s="233"/>
      <c r="AW140" s="233"/>
      <c r="AX140" s="233"/>
      <c r="AY140" s="233"/>
      <c r="AZ140" s="233"/>
      <c r="BA140" s="233"/>
      <c r="BB140" s="233"/>
      <c r="BC140" s="233"/>
    </row>
    <row r="141" spans="1:55" ht="19.5" customHeight="1">
      <c r="A141" s="233"/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233"/>
      <c r="AJ141" s="233"/>
      <c r="AK141" s="233"/>
      <c r="AL141" s="233"/>
      <c r="AM141" s="233"/>
      <c r="AN141" s="233"/>
      <c r="AO141" s="233"/>
      <c r="AP141" s="233"/>
      <c r="AQ141" s="233"/>
      <c r="AR141" s="233"/>
      <c r="AS141" s="233"/>
      <c r="AT141" s="233"/>
      <c r="AU141" s="233"/>
      <c r="AV141" s="233"/>
      <c r="AW141" s="233"/>
      <c r="AX141" s="233"/>
      <c r="AY141" s="233"/>
      <c r="AZ141" s="233"/>
      <c r="BA141" s="233"/>
      <c r="BB141" s="233"/>
      <c r="BC141" s="233"/>
    </row>
    <row r="142" spans="1:55" ht="19.5" customHeight="1">
      <c r="A142" s="233"/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  <c r="BB142" s="233"/>
      <c r="BC142" s="233"/>
    </row>
    <row r="143" spans="1:55" ht="19.5" customHeight="1">
      <c r="A143" s="233"/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33"/>
      <c r="AJ143" s="233"/>
      <c r="AK143" s="233"/>
      <c r="AL143" s="233"/>
      <c r="AM143" s="233"/>
      <c r="AN143" s="233"/>
      <c r="AO143" s="233"/>
      <c r="AP143" s="233"/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3"/>
      <c r="BB143" s="233"/>
      <c r="BC143" s="233"/>
    </row>
    <row r="144" spans="1:55" ht="19.5" customHeight="1">
      <c r="A144" s="233"/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233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3"/>
      <c r="BB144" s="233"/>
      <c r="BC144" s="233"/>
    </row>
    <row r="145" spans="1:55" ht="19.5" customHeight="1">
      <c r="A145" s="233"/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33"/>
      <c r="BC145" s="233"/>
    </row>
    <row r="146" spans="1:55" ht="19.5" customHeight="1">
      <c r="A146" s="233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  <c r="BB146" s="233"/>
      <c r="BC146" s="233"/>
    </row>
    <row r="147" spans="1:55" ht="19.5" customHeight="1">
      <c r="A147" s="233"/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3"/>
      <c r="AK147" s="233"/>
      <c r="AL147" s="233"/>
      <c r="AM147" s="233"/>
      <c r="AN147" s="233"/>
      <c r="AO147" s="233"/>
      <c r="AP147" s="233"/>
      <c r="AQ147" s="233"/>
      <c r="AR147" s="233"/>
      <c r="AS147" s="233"/>
      <c r="AT147" s="233"/>
      <c r="AU147" s="233"/>
      <c r="AV147" s="233"/>
      <c r="AW147" s="233"/>
      <c r="AX147" s="233"/>
      <c r="AY147" s="233"/>
      <c r="AZ147" s="233"/>
      <c r="BA147" s="233"/>
      <c r="BB147" s="233"/>
      <c r="BC147" s="233"/>
    </row>
    <row r="148" spans="1:55" ht="19.5" customHeight="1">
      <c r="A148" s="233"/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233"/>
      <c r="AJ148" s="233"/>
      <c r="AK148" s="233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3"/>
      <c r="BB148" s="233"/>
      <c r="BC148" s="233"/>
    </row>
    <row r="149" spans="1:55" ht="19.5" customHeight="1">
      <c r="A149" s="233"/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3"/>
      <c r="BC149" s="233"/>
    </row>
    <row r="150" spans="1:55" ht="19.5" customHeight="1">
      <c r="A150" s="233"/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233"/>
      <c r="AJ150" s="233"/>
      <c r="AK150" s="233"/>
      <c r="AL150" s="233"/>
      <c r="AM150" s="233"/>
      <c r="AN150" s="233"/>
      <c r="AO150" s="233"/>
      <c r="AP150" s="233"/>
      <c r="AQ150" s="233"/>
      <c r="AR150" s="233"/>
      <c r="AS150" s="233"/>
      <c r="AT150" s="233"/>
      <c r="AU150" s="233"/>
      <c r="AV150" s="233"/>
      <c r="AW150" s="233"/>
      <c r="AX150" s="233"/>
      <c r="AY150" s="233"/>
      <c r="AZ150" s="233"/>
      <c r="BA150" s="233"/>
      <c r="BB150" s="233"/>
      <c r="BC150" s="233"/>
    </row>
    <row r="151" spans="1:55" ht="19.5" customHeight="1">
      <c r="A151" s="233"/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233"/>
      <c r="AH151" s="233"/>
      <c r="AI151" s="233"/>
      <c r="AJ151" s="233"/>
      <c r="AK151" s="233"/>
      <c r="AL151" s="233"/>
      <c r="AM151" s="233"/>
      <c r="AN151" s="233"/>
      <c r="AO151" s="233"/>
      <c r="AP151" s="233"/>
      <c r="AQ151" s="233"/>
      <c r="AR151" s="233"/>
      <c r="AS151" s="233"/>
      <c r="AT151" s="233"/>
      <c r="AU151" s="233"/>
      <c r="AV151" s="233"/>
      <c r="AW151" s="233"/>
      <c r="AX151" s="233"/>
      <c r="AY151" s="233"/>
      <c r="AZ151" s="233"/>
      <c r="BA151" s="233"/>
      <c r="BB151" s="233"/>
      <c r="BC151" s="233"/>
    </row>
    <row r="152" spans="1:55" ht="19.5" customHeight="1">
      <c r="A152" s="233"/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233"/>
      <c r="AJ152" s="233"/>
      <c r="AK152" s="233"/>
      <c r="AL152" s="233"/>
      <c r="AM152" s="233"/>
      <c r="AN152" s="233"/>
      <c r="AO152" s="233"/>
      <c r="AP152" s="233"/>
      <c r="AQ152" s="233"/>
      <c r="AR152" s="233"/>
      <c r="AS152" s="233"/>
      <c r="AT152" s="233"/>
      <c r="AU152" s="233"/>
      <c r="AV152" s="233"/>
      <c r="AW152" s="233"/>
      <c r="AX152" s="233"/>
      <c r="AY152" s="233"/>
      <c r="AZ152" s="233"/>
      <c r="BA152" s="233"/>
      <c r="BB152" s="233"/>
      <c r="BC152" s="233"/>
    </row>
    <row r="153" spans="1:55" ht="19.5" customHeight="1">
      <c r="A153" s="233"/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233"/>
      <c r="AJ153" s="233"/>
      <c r="AK153" s="233"/>
      <c r="AL153" s="233"/>
      <c r="AM153" s="233"/>
      <c r="AN153" s="233"/>
      <c r="AO153" s="233"/>
      <c r="AP153" s="233"/>
      <c r="AQ153" s="233"/>
      <c r="AR153" s="233"/>
      <c r="AS153" s="233"/>
      <c r="AT153" s="233"/>
      <c r="AU153" s="233"/>
      <c r="AV153" s="233"/>
      <c r="AW153" s="233"/>
      <c r="AX153" s="233"/>
      <c r="AY153" s="233"/>
      <c r="AZ153" s="233"/>
      <c r="BA153" s="233"/>
      <c r="BB153" s="233"/>
      <c r="BC153" s="233"/>
    </row>
    <row r="154" spans="1:55" ht="19.5" customHeight="1">
      <c r="A154" s="233"/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233"/>
      <c r="AJ154" s="233"/>
      <c r="AK154" s="233"/>
      <c r="AL154" s="233"/>
      <c r="AM154" s="233"/>
      <c r="AN154" s="233"/>
      <c r="AO154" s="233"/>
      <c r="AP154" s="233"/>
      <c r="AQ154" s="233"/>
      <c r="AR154" s="233"/>
      <c r="AS154" s="233"/>
      <c r="AT154" s="233"/>
      <c r="AU154" s="233"/>
      <c r="AV154" s="233"/>
      <c r="AW154" s="233"/>
      <c r="AX154" s="233"/>
      <c r="AY154" s="233"/>
      <c r="AZ154" s="233"/>
      <c r="BA154" s="233"/>
      <c r="BB154" s="233"/>
      <c r="BC154" s="233"/>
    </row>
    <row r="155" spans="1:55" ht="19.5" customHeight="1">
      <c r="A155" s="233"/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233"/>
      <c r="AJ155" s="233"/>
      <c r="AK155" s="233"/>
      <c r="AL155" s="233"/>
      <c r="AM155" s="233"/>
      <c r="AN155" s="233"/>
      <c r="AO155" s="233"/>
      <c r="AP155" s="233"/>
      <c r="AQ155" s="233"/>
      <c r="AR155" s="233"/>
      <c r="AS155" s="233"/>
      <c r="AT155" s="233"/>
      <c r="AU155" s="233"/>
      <c r="AV155" s="233"/>
      <c r="AW155" s="233"/>
      <c r="AX155" s="233"/>
      <c r="AY155" s="233"/>
      <c r="AZ155" s="233"/>
      <c r="BA155" s="233"/>
      <c r="BB155" s="233"/>
      <c r="BC155" s="233"/>
    </row>
    <row r="156" spans="1:55" ht="19.5" customHeight="1">
      <c r="A156" s="233"/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33"/>
      <c r="AJ156" s="233"/>
      <c r="AK156" s="233"/>
      <c r="AL156" s="233"/>
      <c r="AM156" s="233"/>
      <c r="AN156" s="233"/>
      <c r="AO156" s="233"/>
      <c r="AP156" s="233"/>
      <c r="AQ156" s="233"/>
      <c r="AR156" s="233"/>
      <c r="AS156" s="233"/>
      <c r="AT156" s="233"/>
      <c r="AU156" s="233"/>
      <c r="AV156" s="233"/>
      <c r="AW156" s="233"/>
      <c r="AX156" s="233"/>
      <c r="AY156" s="233"/>
      <c r="AZ156" s="233"/>
      <c r="BA156" s="233"/>
      <c r="BB156" s="233"/>
      <c r="BC156" s="233"/>
    </row>
    <row r="157" spans="1:55" ht="19.5" customHeight="1">
      <c r="A157" s="233"/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  <c r="AI157" s="233"/>
      <c r="AJ157" s="233"/>
      <c r="AK157" s="233"/>
      <c r="AL157" s="233"/>
      <c r="AM157" s="233"/>
      <c r="AN157" s="233"/>
      <c r="AO157" s="233"/>
      <c r="AP157" s="233"/>
      <c r="AQ157" s="233"/>
      <c r="AR157" s="233"/>
      <c r="AS157" s="233"/>
      <c r="AT157" s="233"/>
      <c r="AU157" s="233"/>
      <c r="AV157" s="233"/>
      <c r="AW157" s="233"/>
      <c r="AX157" s="233"/>
      <c r="AY157" s="233"/>
      <c r="AZ157" s="233"/>
      <c r="BA157" s="233"/>
      <c r="BB157" s="233"/>
      <c r="BC157" s="233"/>
    </row>
    <row r="158" spans="1:55" ht="19.5" customHeight="1">
      <c r="A158" s="233"/>
      <c r="B158" s="233"/>
      <c r="C158" s="233"/>
      <c r="D158" s="233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233"/>
      <c r="AJ158" s="233"/>
      <c r="AK158" s="233"/>
      <c r="AL158" s="233"/>
      <c r="AM158" s="233"/>
      <c r="AN158" s="233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  <c r="BA158" s="233"/>
      <c r="BB158" s="233"/>
      <c r="BC158" s="233"/>
    </row>
    <row r="159" spans="1:55" ht="19.5" customHeight="1">
      <c r="A159" s="233"/>
      <c r="B159" s="233"/>
      <c r="C159" s="233"/>
      <c r="D159" s="233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  <c r="AI159" s="233"/>
      <c r="AJ159" s="233"/>
      <c r="AK159" s="233"/>
      <c r="AL159" s="233"/>
      <c r="AM159" s="233"/>
      <c r="AN159" s="233"/>
      <c r="AO159" s="233"/>
      <c r="AP159" s="233"/>
      <c r="AQ159" s="233"/>
      <c r="AR159" s="233"/>
      <c r="AS159" s="233"/>
      <c r="AT159" s="233"/>
      <c r="AU159" s="233"/>
      <c r="AV159" s="233"/>
      <c r="AW159" s="233"/>
      <c r="AX159" s="233"/>
      <c r="AY159" s="233"/>
      <c r="AZ159" s="233"/>
      <c r="BA159" s="233"/>
      <c r="BB159" s="233"/>
      <c r="BC159" s="233"/>
    </row>
    <row r="160" spans="1:55" ht="19.5" customHeight="1">
      <c r="A160" s="233"/>
      <c r="B160" s="233"/>
      <c r="C160" s="233"/>
      <c r="D160" s="233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  <c r="AK160" s="233"/>
      <c r="AL160" s="233"/>
      <c r="AM160" s="233"/>
      <c r="AN160" s="233"/>
      <c r="AO160" s="233"/>
      <c r="AP160" s="233"/>
      <c r="AQ160" s="233"/>
      <c r="AR160" s="233"/>
      <c r="AS160" s="233"/>
      <c r="AT160" s="233"/>
      <c r="AU160" s="233"/>
      <c r="AV160" s="233"/>
      <c r="AW160" s="233"/>
      <c r="AX160" s="233"/>
      <c r="AY160" s="233"/>
      <c r="AZ160" s="233"/>
      <c r="BA160" s="233"/>
      <c r="BB160" s="233"/>
      <c r="BC160" s="233"/>
    </row>
    <row r="161" spans="1:55" ht="19.5" customHeight="1">
      <c r="A161" s="233"/>
      <c r="B161" s="233"/>
      <c r="C161" s="233"/>
      <c r="D161" s="233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3"/>
      <c r="AK161" s="233"/>
      <c r="AL161" s="233"/>
      <c r="AM161" s="233"/>
      <c r="AN161" s="233"/>
      <c r="AO161" s="233"/>
      <c r="AP161" s="233"/>
      <c r="AQ161" s="233"/>
      <c r="AR161" s="233"/>
      <c r="AS161" s="233"/>
      <c r="AT161" s="233"/>
      <c r="AU161" s="233"/>
      <c r="AV161" s="233"/>
      <c r="AW161" s="233"/>
      <c r="AX161" s="233"/>
      <c r="AY161" s="233"/>
      <c r="AZ161" s="233"/>
      <c r="BA161" s="233"/>
      <c r="BB161" s="233"/>
      <c r="BC161" s="233"/>
    </row>
    <row r="162" spans="1:55" ht="19.5" customHeight="1">
      <c r="A162" s="233"/>
      <c r="B162" s="233"/>
      <c r="C162" s="233"/>
      <c r="D162" s="233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33"/>
      <c r="AN162" s="233"/>
      <c r="AO162" s="233"/>
      <c r="AP162" s="233"/>
      <c r="AQ162" s="233"/>
      <c r="AR162" s="233"/>
      <c r="AS162" s="233"/>
      <c r="AT162" s="233"/>
      <c r="AU162" s="233"/>
      <c r="AV162" s="233"/>
      <c r="AW162" s="233"/>
      <c r="AX162" s="233"/>
      <c r="AY162" s="233"/>
      <c r="AZ162" s="233"/>
      <c r="BA162" s="233"/>
      <c r="BB162" s="233"/>
      <c r="BC162" s="233"/>
    </row>
    <row r="163" spans="1:55" ht="19.5" customHeight="1">
      <c r="A163" s="233"/>
      <c r="B163" s="233"/>
      <c r="C163" s="233"/>
      <c r="D163" s="233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233"/>
      <c r="AJ163" s="233"/>
      <c r="AK163" s="233"/>
      <c r="AL163" s="233"/>
      <c r="AM163" s="233"/>
      <c r="AN163" s="233"/>
      <c r="AO163" s="233"/>
      <c r="AP163" s="233"/>
      <c r="AQ163" s="233"/>
      <c r="AR163" s="233"/>
      <c r="AS163" s="233"/>
      <c r="AT163" s="233"/>
      <c r="AU163" s="233"/>
      <c r="AV163" s="233"/>
      <c r="AW163" s="233"/>
      <c r="AX163" s="233"/>
      <c r="AY163" s="233"/>
      <c r="AZ163" s="233"/>
      <c r="BA163" s="233"/>
      <c r="BB163" s="233"/>
      <c r="BC163" s="233"/>
    </row>
    <row r="164" spans="1:55" ht="19.5" customHeight="1">
      <c r="A164" s="233"/>
      <c r="B164" s="233"/>
      <c r="C164" s="233"/>
      <c r="D164" s="233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233"/>
      <c r="AH164" s="233"/>
      <c r="AI164" s="233"/>
      <c r="AJ164" s="233"/>
      <c r="AK164" s="233"/>
      <c r="AL164" s="233"/>
      <c r="AM164" s="233"/>
      <c r="AN164" s="233"/>
      <c r="AO164" s="233"/>
      <c r="AP164" s="233"/>
      <c r="AQ164" s="233"/>
      <c r="AR164" s="233"/>
      <c r="AS164" s="233"/>
      <c r="AT164" s="233"/>
      <c r="AU164" s="233"/>
      <c r="AV164" s="233"/>
      <c r="AW164" s="233"/>
      <c r="AX164" s="233"/>
      <c r="AY164" s="233"/>
      <c r="AZ164" s="233"/>
      <c r="BA164" s="233"/>
      <c r="BB164" s="233"/>
      <c r="BC164" s="233"/>
    </row>
    <row r="165" spans="1:55" ht="19.5" customHeight="1">
      <c r="A165" s="233"/>
      <c r="B165" s="233"/>
      <c r="C165" s="233"/>
      <c r="D165" s="233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  <c r="AH165" s="233"/>
      <c r="AI165" s="233"/>
      <c r="AJ165" s="233"/>
      <c r="AK165" s="233"/>
      <c r="AL165" s="233"/>
      <c r="AM165" s="233"/>
      <c r="AN165" s="233"/>
      <c r="AO165" s="233"/>
      <c r="AP165" s="233"/>
      <c r="AQ165" s="233"/>
      <c r="AR165" s="233"/>
      <c r="AS165" s="233"/>
      <c r="AT165" s="233"/>
      <c r="AU165" s="233"/>
      <c r="AV165" s="233"/>
      <c r="AW165" s="233"/>
      <c r="AX165" s="233"/>
      <c r="AY165" s="233"/>
      <c r="AZ165" s="233"/>
      <c r="BA165" s="233"/>
      <c r="BB165" s="233"/>
      <c r="BC165" s="233"/>
    </row>
    <row r="166" spans="1:55" ht="19.5" customHeight="1">
      <c r="A166" s="233"/>
      <c r="B166" s="233"/>
      <c r="C166" s="233"/>
      <c r="D166" s="233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  <c r="AH166" s="233"/>
      <c r="AI166" s="233"/>
      <c r="AJ166" s="233"/>
      <c r="AK166" s="233"/>
      <c r="AL166" s="233"/>
      <c r="AM166" s="233"/>
      <c r="AN166" s="233"/>
      <c r="AO166" s="233"/>
      <c r="AP166" s="233"/>
      <c r="AQ166" s="233"/>
      <c r="AR166" s="233"/>
      <c r="AS166" s="233"/>
      <c r="AT166" s="233"/>
      <c r="AU166" s="233"/>
      <c r="AV166" s="233"/>
      <c r="AW166" s="233"/>
      <c r="AX166" s="233"/>
      <c r="AY166" s="233"/>
      <c r="AZ166" s="233"/>
      <c r="BA166" s="233"/>
      <c r="BB166" s="233"/>
      <c r="BC166" s="233"/>
    </row>
    <row r="167" spans="1:55" ht="19.5" customHeight="1">
      <c r="A167" s="233"/>
      <c r="B167" s="233"/>
      <c r="C167" s="233"/>
      <c r="D167" s="233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233"/>
      <c r="AH167" s="233"/>
      <c r="AI167" s="233"/>
      <c r="AJ167" s="233"/>
      <c r="AK167" s="233"/>
      <c r="AL167" s="233"/>
      <c r="AM167" s="233"/>
      <c r="AN167" s="233"/>
      <c r="AO167" s="233"/>
      <c r="AP167" s="233"/>
      <c r="AQ167" s="233"/>
      <c r="AR167" s="233"/>
      <c r="AS167" s="233"/>
      <c r="AT167" s="233"/>
      <c r="AU167" s="233"/>
      <c r="AV167" s="233"/>
      <c r="AW167" s="233"/>
      <c r="AX167" s="233"/>
      <c r="AY167" s="233"/>
      <c r="AZ167" s="233"/>
      <c r="BA167" s="233"/>
      <c r="BB167" s="233"/>
      <c r="BC167" s="233"/>
    </row>
    <row r="168" spans="1:55" ht="19.5" customHeight="1">
      <c r="A168" s="233"/>
      <c r="B168" s="233"/>
      <c r="C168" s="233"/>
      <c r="D168" s="233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233"/>
      <c r="AH168" s="233"/>
      <c r="AI168" s="233"/>
      <c r="AJ168" s="233"/>
      <c r="AK168" s="233"/>
      <c r="AL168" s="233"/>
      <c r="AM168" s="233"/>
      <c r="AN168" s="233"/>
      <c r="AO168" s="233"/>
      <c r="AP168" s="233"/>
      <c r="AQ168" s="233"/>
      <c r="AR168" s="233"/>
      <c r="AS168" s="233"/>
      <c r="AT168" s="233"/>
      <c r="AU168" s="233"/>
      <c r="AV168" s="233"/>
      <c r="AW168" s="233"/>
      <c r="AX168" s="233"/>
      <c r="AY168" s="233"/>
      <c r="AZ168" s="233"/>
      <c r="BA168" s="233"/>
      <c r="BB168" s="233"/>
      <c r="BC168" s="233"/>
    </row>
    <row r="169" spans="1:55" ht="19.5" customHeight="1">
      <c r="A169" s="233"/>
      <c r="B169" s="233"/>
      <c r="C169" s="233"/>
      <c r="D169" s="233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233"/>
      <c r="AO169" s="233"/>
      <c r="AP169" s="233"/>
      <c r="AQ169" s="233"/>
      <c r="AR169" s="233"/>
      <c r="AS169" s="233"/>
      <c r="AT169" s="233"/>
      <c r="AU169" s="233"/>
      <c r="AV169" s="233"/>
      <c r="AW169" s="233"/>
      <c r="AX169" s="233"/>
      <c r="AY169" s="233"/>
      <c r="AZ169" s="233"/>
      <c r="BA169" s="233"/>
      <c r="BB169" s="233"/>
      <c r="BC169" s="233"/>
    </row>
    <row r="170" spans="1:55" ht="19.5" customHeight="1">
      <c r="A170" s="233"/>
      <c r="B170" s="233"/>
      <c r="C170" s="233"/>
      <c r="D170" s="233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233"/>
      <c r="AI170" s="233"/>
      <c r="AJ170" s="233"/>
      <c r="AK170" s="233"/>
      <c r="AL170" s="233"/>
      <c r="AM170" s="233"/>
      <c r="AN170" s="233"/>
      <c r="AO170" s="233"/>
      <c r="AP170" s="233"/>
      <c r="AQ170" s="233"/>
      <c r="AR170" s="233"/>
      <c r="AS170" s="233"/>
      <c r="AT170" s="233"/>
      <c r="AU170" s="233"/>
      <c r="AV170" s="233"/>
      <c r="AW170" s="233"/>
      <c r="AX170" s="233"/>
      <c r="AY170" s="233"/>
      <c r="AZ170" s="233"/>
      <c r="BA170" s="233"/>
      <c r="BB170" s="233"/>
      <c r="BC170" s="233"/>
    </row>
    <row r="171" spans="1:55" ht="19.5" customHeight="1">
      <c r="A171" s="233"/>
      <c r="B171" s="233"/>
      <c r="C171" s="233"/>
      <c r="D171" s="233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3"/>
      <c r="AK171" s="233"/>
      <c r="AL171" s="233"/>
      <c r="AM171" s="233"/>
      <c r="AN171" s="233"/>
      <c r="AO171" s="233"/>
      <c r="AP171" s="233"/>
      <c r="AQ171" s="233"/>
      <c r="AR171" s="233"/>
      <c r="AS171" s="233"/>
      <c r="AT171" s="233"/>
      <c r="AU171" s="233"/>
      <c r="AV171" s="233"/>
      <c r="AW171" s="233"/>
      <c r="AX171" s="233"/>
      <c r="AY171" s="233"/>
      <c r="AZ171" s="233"/>
      <c r="BA171" s="233"/>
      <c r="BB171" s="233"/>
      <c r="BC171" s="233"/>
    </row>
    <row r="172" spans="1:55" ht="19.5" customHeight="1">
      <c r="A172" s="233"/>
      <c r="B172" s="233"/>
      <c r="C172" s="233"/>
      <c r="D172" s="233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233"/>
      <c r="AJ172" s="233"/>
      <c r="AK172" s="233"/>
      <c r="AL172" s="233"/>
      <c r="AM172" s="233"/>
      <c r="AN172" s="233"/>
      <c r="AO172" s="233"/>
      <c r="AP172" s="233"/>
      <c r="AQ172" s="233"/>
      <c r="AR172" s="233"/>
      <c r="AS172" s="233"/>
      <c r="AT172" s="233"/>
      <c r="AU172" s="233"/>
      <c r="AV172" s="233"/>
      <c r="AW172" s="233"/>
      <c r="AX172" s="233"/>
      <c r="AY172" s="233"/>
      <c r="AZ172" s="233"/>
      <c r="BA172" s="233"/>
      <c r="BB172" s="233"/>
      <c r="BC172" s="233"/>
    </row>
    <row r="173" spans="1:55" ht="19.5" customHeight="1">
      <c r="A173" s="233"/>
      <c r="B173" s="233"/>
      <c r="C173" s="233"/>
      <c r="D173" s="233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233"/>
      <c r="AJ173" s="233"/>
      <c r="AK173" s="233"/>
      <c r="AL173" s="233"/>
      <c r="AM173" s="233"/>
      <c r="AN173" s="233"/>
      <c r="AO173" s="233"/>
      <c r="AP173" s="233"/>
      <c r="AQ173" s="233"/>
      <c r="AR173" s="233"/>
      <c r="AS173" s="233"/>
      <c r="AT173" s="233"/>
      <c r="AU173" s="233"/>
      <c r="AV173" s="233"/>
      <c r="AW173" s="233"/>
      <c r="AX173" s="233"/>
      <c r="AY173" s="233"/>
      <c r="AZ173" s="233"/>
      <c r="BA173" s="233"/>
      <c r="BB173" s="233"/>
      <c r="BC173" s="233"/>
    </row>
    <row r="174" spans="1:55" ht="19.5" customHeight="1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233"/>
      <c r="AJ174" s="233"/>
      <c r="AK174" s="233"/>
      <c r="AL174" s="233"/>
      <c r="AM174" s="233"/>
      <c r="AN174" s="233"/>
      <c r="AO174" s="233"/>
      <c r="AP174" s="233"/>
      <c r="AQ174" s="233"/>
      <c r="AR174" s="233"/>
      <c r="AS174" s="233"/>
      <c r="AT174" s="233"/>
      <c r="AU174" s="233"/>
      <c r="AV174" s="233"/>
      <c r="AW174" s="233"/>
      <c r="AX174" s="233"/>
      <c r="AY174" s="233"/>
      <c r="AZ174" s="233"/>
      <c r="BA174" s="233"/>
      <c r="BB174" s="233"/>
      <c r="BC174" s="233"/>
    </row>
    <row r="175" spans="1:55" ht="19.5" customHeight="1">
      <c r="A175" s="233"/>
      <c r="B175" s="233"/>
      <c r="C175" s="233"/>
      <c r="D175" s="233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233"/>
      <c r="AJ175" s="233"/>
      <c r="AK175" s="233"/>
      <c r="AL175" s="233"/>
      <c r="AM175" s="233"/>
      <c r="AN175" s="233"/>
      <c r="AO175" s="233"/>
      <c r="AP175" s="233"/>
      <c r="AQ175" s="233"/>
      <c r="AR175" s="233"/>
      <c r="AS175" s="233"/>
      <c r="AT175" s="233"/>
      <c r="AU175" s="233"/>
      <c r="AV175" s="233"/>
      <c r="AW175" s="233"/>
      <c r="AX175" s="233"/>
      <c r="AY175" s="233"/>
      <c r="AZ175" s="233"/>
      <c r="BA175" s="233"/>
      <c r="BB175" s="233"/>
      <c r="BC175" s="233"/>
    </row>
    <row r="176" spans="1:55" ht="19.5" customHeight="1">
      <c r="A176" s="233"/>
      <c r="B176" s="233"/>
      <c r="C176" s="233"/>
      <c r="D176" s="233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233"/>
      <c r="AJ176" s="233"/>
      <c r="AK176" s="233"/>
      <c r="AL176" s="233"/>
      <c r="AM176" s="233"/>
      <c r="AN176" s="233"/>
      <c r="AO176" s="233"/>
      <c r="AP176" s="233"/>
      <c r="AQ176" s="233"/>
      <c r="AR176" s="233"/>
      <c r="AS176" s="233"/>
      <c r="AT176" s="233"/>
      <c r="AU176" s="233"/>
      <c r="AV176" s="233"/>
      <c r="AW176" s="233"/>
      <c r="AX176" s="233"/>
      <c r="AY176" s="233"/>
      <c r="AZ176" s="233"/>
      <c r="BA176" s="233"/>
      <c r="BB176" s="233"/>
      <c r="BC176" s="233"/>
    </row>
    <row r="177" spans="1:55" ht="19.5" customHeight="1">
      <c r="A177" s="233"/>
      <c r="B177" s="233"/>
      <c r="C177" s="233"/>
      <c r="D177" s="233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  <c r="AH177" s="233"/>
      <c r="AI177" s="233"/>
      <c r="AJ177" s="233"/>
      <c r="AK177" s="233"/>
      <c r="AL177" s="233"/>
      <c r="AM177" s="233"/>
      <c r="AN177" s="233"/>
      <c r="AO177" s="233"/>
      <c r="AP177" s="233"/>
      <c r="AQ177" s="233"/>
      <c r="AR177" s="233"/>
      <c r="AS177" s="233"/>
      <c r="AT177" s="233"/>
      <c r="AU177" s="233"/>
      <c r="AV177" s="233"/>
      <c r="AW177" s="233"/>
      <c r="AX177" s="233"/>
      <c r="AY177" s="233"/>
      <c r="AZ177" s="233"/>
      <c r="BA177" s="233"/>
      <c r="BB177" s="233"/>
      <c r="BC177" s="233"/>
    </row>
    <row r="178" spans="1:55" ht="19.5" customHeight="1">
      <c r="A178" s="233"/>
      <c r="B178" s="233"/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  <c r="AU178" s="233"/>
      <c r="AV178" s="233"/>
      <c r="AW178" s="233"/>
      <c r="AX178" s="233"/>
      <c r="AY178" s="233"/>
      <c r="AZ178" s="233"/>
      <c r="BA178" s="233"/>
      <c r="BB178" s="233"/>
      <c r="BC178" s="233"/>
    </row>
    <row r="179" spans="1:55" ht="19.5" customHeight="1">
      <c r="A179" s="233"/>
      <c r="B179" s="233"/>
      <c r="C179" s="233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  <c r="AH179" s="233"/>
      <c r="AI179" s="233"/>
      <c r="AJ179" s="233"/>
      <c r="AK179" s="233"/>
      <c r="AL179" s="233"/>
      <c r="AM179" s="233"/>
      <c r="AN179" s="233"/>
      <c r="AO179" s="233"/>
      <c r="AP179" s="233"/>
      <c r="AQ179" s="233"/>
      <c r="AR179" s="233"/>
      <c r="AS179" s="233"/>
      <c r="AT179" s="233"/>
      <c r="AU179" s="233"/>
      <c r="AV179" s="233"/>
      <c r="AW179" s="233"/>
      <c r="AX179" s="233"/>
      <c r="AY179" s="233"/>
      <c r="AZ179" s="233"/>
      <c r="BA179" s="233"/>
      <c r="BB179" s="233"/>
      <c r="BC179" s="233"/>
    </row>
    <row r="180" spans="1:55" ht="19.5" customHeight="1">
      <c r="A180" s="233"/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233"/>
      <c r="AJ180" s="233"/>
      <c r="AK180" s="233"/>
      <c r="AL180" s="233"/>
      <c r="AM180" s="233"/>
      <c r="AN180" s="233"/>
      <c r="AO180" s="233"/>
      <c r="AP180" s="233"/>
      <c r="AQ180" s="233"/>
      <c r="AR180" s="233"/>
      <c r="AS180" s="233"/>
      <c r="AT180" s="233"/>
      <c r="AU180" s="233"/>
      <c r="AV180" s="233"/>
      <c r="AW180" s="233"/>
      <c r="AX180" s="233"/>
      <c r="AY180" s="233"/>
      <c r="AZ180" s="233"/>
      <c r="BA180" s="233"/>
      <c r="BB180" s="233"/>
      <c r="BC180" s="233"/>
    </row>
    <row r="181" spans="1:55" ht="19.5" customHeight="1">
      <c r="A181" s="233"/>
      <c r="B181" s="233"/>
      <c r="C181" s="233"/>
      <c r="D181" s="233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233"/>
      <c r="AH181" s="233"/>
      <c r="AI181" s="233"/>
      <c r="AJ181" s="233"/>
      <c r="AK181" s="233"/>
      <c r="AL181" s="233"/>
      <c r="AM181" s="233"/>
      <c r="AN181" s="233"/>
      <c r="AO181" s="233"/>
      <c r="AP181" s="233"/>
      <c r="AQ181" s="233"/>
      <c r="AR181" s="233"/>
      <c r="AS181" s="233"/>
      <c r="AT181" s="233"/>
      <c r="AU181" s="233"/>
      <c r="AV181" s="233"/>
      <c r="AW181" s="233"/>
      <c r="AX181" s="233"/>
      <c r="AY181" s="233"/>
      <c r="AZ181" s="233"/>
      <c r="BA181" s="233"/>
      <c r="BB181" s="233"/>
      <c r="BC181" s="233"/>
    </row>
    <row r="182" spans="1:55" ht="19.5" customHeight="1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233"/>
      <c r="AL182" s="233"/>
      <c r="AM182" s="233"/>
      <c r="AN182" s="233"/>
      <c r="AO182" s="233"/>
      <c r="AP182" s="233"/>
      <c r="AQ182" s="233"/>
      <c r="AR182" s="233"/>
      <c r="AS182" s="233"/>
      <c r="AT182" s="233"/>
      <c r="AU182" s="233"/>
      <c r="AV182" s="233"/>
      <c r="AW182" s="233"/>
      <c r="AX182" s="233"/>
      <c r="AY182" s="233"/>
      <c r="AZ182" s="233"/>
      <c r="BA182" s="233"/>
      <c r="BB182" s="233"/>
      <c r="BC182" s="233"/>
    </row>
    <row r="183" spans="1:55" ht="19.5" customHeight="1">
      <c r="A183" s="233"/>
      <c r="B183" s="233"/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33"/>
      <c r="AM183" s="233"/>
      <c r="AN183" s="233"/>
      <c r="AO183" s="233"/>
      <c r="AP183" s="233"/>
      <c r="AQ183" s="233"/>
      <c r="AR183" s="233"/>
      <c r="AS183" s="233"/>
      <c r="AT183" s="233"/>
      <c r="AU183" s="233"/>
      <c r="AV183" s="233"/>
      <c r="AW183" s="233"/>
      <c r="AX183" s="233"/>
      <c r="AY183" s="233"/>
      <c r="AZ183" s="233"/>
      <c r="BA183" s="233"/>
      <c r="BB183" s="233"/>
      <c r="BC183" s="233"/>
    </row>
    <row r="184" spans="1:55" ht="19.5" customHeight="1">
      <c r="A184" s="233"/>
      <c r="B184" s="233"/>
      <c r="C184" s="233"/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233"/>
      <c r="AJ184" s="233"/>
      <c r="AK184" s="233"/>
      <c r="AL184" s="233"/>
      <c r="AM184" s="233"/>
      <c r="AN184" s="233"/>
      <c r="AO184" s="233"/>
      <c r="AP184" s="233"/>
      <c r="AQ184" s="233"/>
      <c r="AR184" s="233"/>
      <c r="AS184" s="233"/>
      <c r="AT184" s="233"/>
      <c r="AU184" s="233"/>
      <c r="AV184" s="233"/>
      <c r="AW184" s="233"/>
      <c r="AX184" s="233"/>
      <c r="AY184" s="233"/>
      <c r="AZ184" s="233"/>
      <c r="BA184" s="233"/>
      <c r="BB184" s="233"/>
      <c r="BC184" s="233"/>
    </row>
    <row r="185" spans="1:55" ht="19.5" customHeight="1">
      <c r="A185" s="233"/>
      <c r="B185" s="233"/>
      <c r="C185" s="233"/>
      <c r="D185" s="233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33"/>
      <c r="AN185" s="233"/>
      <c r="AO185" s="233"/>
      <c r="AP185" s="233"/>
      <c r="AQ185" s="233"/>
      <c r="AR185" s="233"/>
      <c r="AS185" s="233"/>
      <c r="AT185" s="233"/>
      <c r="AU185" s="233"/>
      <c r="AV185" s="233"/>
      <c r="AW185" s="233"/>
      <c r="AX185" s="233"/>
      <c r="AY185" s="233"/>
      <c r="AZ185" s="233"/>
      <c r="BA185" s="233"/>
      <c r="BB185" s="233"/>
      <c r="BC185" s="233"/>
    </row>
    <row r="186" spans="1:55" ht="19.5" customHeight="1">
      <c r="A186" s="233"/>
      <c r="B186" s="233"/>
      <c r="C186" s="233"/>
      <c r="D186" s="233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233"/>
      <c r="AH186" s="233"/>
      <c r="AI186" s="233"/>
      <c r="AJ186" s="233"/>
      <c r="AK186" s="233"/>
      <c r="AL186" s="233"/>
      <c r="AM186" s="233"/>
      <c r="AN186" s="233"/>
      <c r="AO186" s="233"/>
      <c r="AP186" s="233"/>
      <c r="AQ186" s="233"/>
      <c r="AR186" s="233"/>
      <c r="AS186" s="233"/>
      <c r="AT186" s="233"/>
      <c r="AU186" s="233"/>
      <c r="AV186" s="233"/>
      <c r="AW186" s="233"/>
      <c r="AX186" s="233"/>
      <c r="AY186" s="233"/>
      <c r="AZ186" s="233"/>
      <c r="BA186" s="233"/>
      <c r="BB186" s="233"/>
      <c r="BC186" s="233"/>
    </row>
    <row r="187" spans="1:55" ht="19.5" customHeight="1">
      <c r="A187" s="233"/>
      <c r="B187" s="233"/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  <c r="AU187" s="233"/>
      <c r="AV187" s="233"/>
      <c r="AW187" s="233"/>
      <c r="AX187" s="233"/>
      <c r="AY187" s="233"/>
      <c r="AZ187" s="233"/>
      <c r="BA187" s="233"/>
      <c r="BB187" s="233"/>
      <c r="BC187" s="233"/>
    </row>
    <row r="188" spans="1:55" ht="19.5" customHeight="1">
      <c r="A188" s="233"/>
      <c r="B188" s="233"/>
      <c r="C188" s="233"/>
      <c r="D188" s="233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33"/>
      <c r="AH188" s="233"/>
      <c r="AI188" s="233"/>
      <c r="AJ188" s="233"/>
      <c r="AK188" s="233"/>
      <c r="AL188" s="233"/>
      <c r="AM188" s="233"/>
      <c r="AN188" s="233"/>
      <c r="AO188" s="233"/>
      <c r="AP188" s="233"/>
      <c r="AQ188" s="233"/>
      <c r="AR188" s="233"/>
      <c r="AS188" s="233"/>
      <c r="AT188" s="233"/>
      <c r="AU188" s="233"/>
      <c r="AV188" s="233"/>
      <c r="AW188" s="233"/>
      <c r="AX188" s="233"/>
      <c r="AY188" s="233"/>
      <c r="AZ188" s="233"/>
      <c r="BA188" s="233"/>
      <c r="BB188" s="233"/>
      <c r="BC188" s="233"/>
    </row>
    <row r="189" spans="1:55" ht="19.5" customHeight="1">
      <c r="A189" s="233"/>
      <c r="B189" s="233"/>
      <c r="C189" s="233"/>
      <c r="D189" s="233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33"/>
      <c r="AS189" s="233"/>
      <c r="AT189" s="233"/>
      <c r="AU189" s="233"/>
      <c r="AV189" s="233"/>
      <c r="AW189" s="233"/>
      <c r="AX189" s="233"/>
      <c r="AY189" s="233"/>
      <c r="AZ189" s="233"/>
      <c r="BA189" s="233"/>
      <c r="BB189" s="233"/>
      <c r="BC189" s="233"/>
    </row>
    <row r="190" spans="1:55" ht="19.5" customHeight="1">
      <c r="A190" s="233"/>
      <c r="B190" s="233"/>
      <c r="C190" s="233"/>
      <c r="D190" s="233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233"/>
      <c r="AJ190" s="233"/>
      <c r="AK190" s="233"/>
      <c r="AL190" s="233"/>
      <c r="AM190" s="233"/>
      <c r="AN190" s="233"/>
      <c r="AO190" s="233"/>
      <c r="AP190" s="233"/>
      <c r="AQ190" s="233"/>
      <c r="AR190" s="233"/>
      <c r="AS190" s="233"/>
      <c r="AT190" s="233"/>
      <c r="AU190" s="233"/>
      <c r="AV190" s="233"/>
      <c r="AW190" s="233"/>
      <c r="AX190" s="233"/>
      <c r="AY190" s="233"/>
      <c r="AZ190" s="233"/>
      <c r="BA190" s="233"/>
      <c r="BB190" s="233"/>
      <c r="BC190" s="233"/>
    </row>
    <row r="191" spans="1:55" ht="19.5" customHeight="1">
      <c r="A191" s="233"/>
      <c r="B191" s="233"/>
      <c r="C191" s="233"/>
      <c r="D191" s="233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  <c r="AH191" s="233"/>
      <c r="AI191" s="233"/>
      <c r="AJ191" s="233"/>
      <c r="AK191" s="233"/>
      <c r="AL191" s="233"/>
      <c r="AM191" s="233"/>
      <c r="AN191" s="233"/>
      <c r="AO191" s="233"/>
      <c r="AP191" s="233"/>
      <c r="AQ191" s="233"/>
      <c r="AR191" s="233"/>
      <c r="AS191" s="233"/>
      <c r="AT191" s="233"/>
      <c r="AU191" s="233"/>
      <c r="AV191" s="233"/>
      <c r="AW191" s="233"/>
      <c r="AX191" s="233"/>
      <c r="AY191" s="233"/>
      <c r="AZ191" s="233"/>
      <c r="BA191" s="233"/>
      <c r="BB191" s="233"/>
      <c r="BC191" s="233"/>
    </row>
    <row r="192" spans="1:55" ht="19.5" customHeight="1">
      <c r="A192" s="233"/>
      <c r="B192" s="233"/>
      <c r="C192" s="233"/>
      <c r="D192" s="233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233"/>
      <c r="AJ192" s="233"/>
      <c r="AK192" s="233"/>
      <c r="AL192" s="233"/>
      <c r="AM192" s="233"/>
      <c r="AN192" s="233"/>
      <c r="AO192" s="233"/>
      <c r="AP192" s="233"/>
      <c r="AQ192" s="233"/>
      <c r="AR192" s="233"/>
      <c r="AS192" s="233"/>
      <c r="AT192" s="233"/>
      <c r="AU192" s="233"/>
      <c r="AV192" s="233"/>
      <c r="AW192" s="233"/>
      <c r="AX192" s="233"/>
      <c r="AY192" s="233"/>
      <c r="AZ192" s="233"/>
      <c r="BA192" s="233"/>
      <c r="BB192" s="233"/>
      <c r="BC192" s="233"/>
    </row>
    <row r="193" spans="1:55" ht="19.5" customHeight="1">
      <c r="A193" s="233"/>
      <c r="B193" s="233"/>
      <c r="C193" s="233"/>
      <c r="D193" s="233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233"/>
      <c r="AJ193" s="233"/>
      <c r="AK193" s="233"/>
      <c r="AL193" s="233"/>
      <c r="AM193" s="233"/>
      <c r="AN193" s="233"/>
      <c r="AO193" s="233"/>
      <c r="AP193" s="233"/>
      <c r="AQ193" s="233"/>
      <c r="AR193" s="233"/>
      <c r="AS193" s="233"/>
      <c r="AT193" s="233"/>
      <c r="AU193" s="233"/>
      <c r="AV193" s="233"/>
      <c r="AW193" s="233"/>
      <c r="AX193" s="233"/>
      <c r="AY193" s="233"/>
      <c r="AZ193" s="233"/>
      <c r="BA193" s="233"/>
      <c r="BB193" s="233"/>
      <c r="BC193" s="233"/>
    </row>
    <row r="194" spans="1:55" ht="19.5" customHeight="1">
      <c r="A194" s="233"/>
      <c r="B194" s="233"/>
      <c r="C194" s="233"/>
      <c r="D194" s="233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233"/>
      <c r="AH194" s="233"/>
      <c r="AI194" s="233"/>
      <c r="AJ194" s="233"/>
      <c r="AK194" s="233"/>
      <c r="AL194" s="233"/>
      <c r="AM194" s="233"/>
      <c r="AN194" s="233"/>
      <c r="AO194" s="233"/>
      <c r="AP194" s="233"/>
      <c r="AQ194" s="233"/>
      <c r="AR194" s="233"/>
      <c r="AS194" s="233"/>
      <c r="AT194" s="233"/>
      <c r="AU194" s="233"/>
      <c r="AV194" s="233"/>
      <c r="AW194" s="233"/>
      <c r="AX194" s="233"/>
      <c r="AY194" s="233"/>
      <c r="AZ194" s="233"/>
      <c r="BA194" s="233"/>
      <c r="BB194" s="233"/>
      <c r="BC194" s="233"/>
    </row>
    <row r="195" spans="1:55" ht="19.5" customHeight="1">
      <c r="A195" s="233"/>
      <c r="B195" s="233"/>
      <c r="C195" s="233"/>
      <c r="D195" s="233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33"/>
      <c r="AS195" s="233"/>
      <c r="AT195" s="233"/>
      <c r="AU195" s="233"/>
      <c r="AV195" s="233"/>
      <c r="AW195" s="233"/>
      <c r="AX195" s="233"/>
      <c r="AY195" s="233"/>
      <c r="AZ195" s="233"/>
      <c r="BA195" s="233"/>
      <c r="BB195" s="233"/>
      <c r="BC195" s="233"/>
    </row>
    <row r="196" spans="1:55" ht="19.5" customHeight="1">
      <c r="A196" s="233"/>
      <c r="B196" s="233"/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  <c r="AU196" s="233"/>
      <c r="AV196" s="233"/>
      <c r="AW196" s="233"/>
      <c r="AX196" s="233"/>
      <c r="AY196" s="233"/>
      <c r="AZ196" s="233"/>
      <c r="BA196" s="233"/>
      <c r="BB196" s="233"/>
      <c r="BC196" s="233"/>
    </row>
    <row r="197" spans="1:55" ht="19.5" customHeight="1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233"/>
      <c r="AH197" s="233"/>
      <c r="AI197" s="233"/>
      <c r="AJ197" s="233"/>
      <c r="AK197" s="233"/>
      <c r="AL197" s="233"/>
      <c r="AM197" s="233"/>
      <c r="AN197" s="233"/>
      <c r="AO197" s="233"/>
      <c r="AP197" s="233"/>
      <c r="AQ197" s="233"/>
      <c r="AR197" s="233"/>
      <c r="AS197" s="233"/>
      <c r="AT197" s="233"/>
      <c r="AU197" s="233"/>
      <c r="AV197" s="233"/>
      <c r="AW197" s="233"/>
      <c r="AX197" s="233"/>
      <c r="AY197" s="233"/>
      <c r="AZ197" s="233"/>
      <c r="BA197" s="233"/>
      <c r="BB197" s="233"/>
      <c r="BC197" s="233"/>
    </row>
    <row r="198" spans="1:55" ht="19.5" customHeight="1">
      <c r="A198" s="233"/>
      <c r="B198" s="233"/>
      <c r="C198" s="233"/>
      <c r="D198" s="233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233"/>
      <c r="AH198" s="233"/>
      <c r="AI198" s="233"/>
      <c r="AJ198" s="233"/>
      <c r="AK198" s="233"/>
      <c r="AL198" s="233"/>
      <c r="AM198" s="233"/>
      <c r="AN198" s="233"/>
      <c r="AO198" s="233"/>
      <c r="AP198" s="233"/>
      <c r="AQ198" s="233"/>
      <c r="AR198" s="233"/>
      <c r="AS198" s="233"/>
      <c r="AT198" s="233"/>
      <c r="AU198" s="233"/>
      <c r="AV198" s="233"/>
      <c r="AW198" s="233"/>
      <c r="AX198" s="233"/>
      <c r="AY198" s="233"/>
      <c r="AZ198" s="233"/>
      <c r="BA198" s="233"/>
      <c r="BB198" s="233"/>
      <c r="BC198" s="233"/>
    </row>
    <row r="199" spans="1:55" ht="19.5" customHeight="1">
      <c r="A199" s="233"/>
      <c r="B199" s="233"/>
      <c r="C199" s="233"/>
      <c r="D199" s="233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233"/>
      <c r="AH199" s="233"/>
      <c r="AI199" s="233"/>
      <c r="AJ199" s="233"/>
      <c r="AK199" s="233"/>
      <c r="AL199" s="233"/>
      <c r="AM199" s="233"/>
      <c r="AN199" s="233"/>
      <c r="AO199" s="233"/>
      <c r="AP199" s="233"/>
      <c r="AQ199" s="233"/>
      <c r="AR199" s="233"/>
      <c r="AS199" s="233"/>
      <c r="AT199" s="233"/>
      <c r="AU199" s="233"/>
      <c r="AV199" s="233"/>
      <c r="AW199" s="233"/>
      <c r="AX199" s="233"/>
      <c r="AY199" s="233"/>
      <c r="AZ199" s="233"/>
      <c r="BA199" s="233"/>
      <c r="BB199" s="233"/>
      <c r="BC199" s="233"/>
    </row>
    <row r="200" spans="1:55" ht="19.5" customHeight="1">
      <c r="A200" s="233"/>
      <c r="B200" s="233"/>
      <c r="C200" s="233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233"/>
      <c r="AH200" s="233"/>
      <c r="AI200" s="233"/>
      <c r="AJ200" s="233"/>
      <c r="AK200" s="233"/>
      <c r="AL200" s="233"/>
      <c r="AM200" s="233"/>
      <c r="AN200" s="233"/>
      <c r="AO200" s="233"/>
      <c r="AP200" s="233"/>
      <c r="AQ200" s="233"/>
      <c r="AR200" s="233"/>
      <c r="AS200" s="233"/>
      <c r="AT200" s="233"/>
      <c r="AU200" s="233"/>
      <c r="AV200" s="233"/>
      <c r="AW200" s="233"/>
      <c r="AX200" s="233"/>
      <c r="AY200" s="233"/>
      <c r="AZ200" s="233"/>
      <c r="BA200" s="233"/>
      <c r="BB200" s="233"/>
      <c r="BC200" s="233"/>
    </row>
    <row r="201" spans="1:55" ht="19.5" customHeight="1">
      <c r="A201" s="233"/>
      <c r="B201" s="233"/>
      <c r="C201" s="233"/>
      <c r="D201" s="233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233"/>
      <c r="AH201" s="233"/>
      <c r="AI201" s="233"/>
      <c r="AJ201" s="233"/>
      <c r="AK201" s="233"/>
      <c r="AL201" s="233"/>
      <c r="AM201" s="233"/>
      <c r="AN201" s="233"/>
      <c r="AO201" s="233"/>
      <c r="AP201" s="233"/>
      <c r="AQ201" s="233"/>
      <c r="AR201" s="233"/>
      <c r="AS201" s="233"/>
      <c r="AT201" s="233"/>
      <c r="AU201" s="233"/>
      <c r="AV201" s="233"/>
      <c r="AW201" s="233"/>
      <c r="AX201" s="233"/>
      <c r="AY201" s="233"/>
      <c r="AZ201" s="233"/>
      <c r="BA201" s="233"/>
      <c r="BB201" s="233"/>
      <c r="BC201" s="233"/>
    </row>
    <row r="202" spans="1:55" ht="19.5" customHeight="1">
      <c r="A202" s="233"/>
      <c r="B202" s="233"/>
      <c r="C202" s="233"/>
      <c r="D202" s="233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3"/>
      <c r="AK202" s="233"/>
      <c r="AL202" s="233"/>
      <c r="AM202" s="233"/>
      <c r="AN202" s="233"/>
      <c r="AO202" s="233"/>
      <c r="AP202" s="233"/>
      <c r="AQ202" s="233"/>
      <c r="AR202" s="233"/>
      <c r="AS202" s="233"/>
      <c r="AT202" s="233"/>
      <c r="AU202" s="233"/>
      <c r="AV202" s="233"/>
      <c r="AW202" s="233"/>
      <c r="AX202" s="233"/>
      <c r="AY202" s="233"/>
      <c r="AZ202" s="233"/>
      <c r="BA202" s="233"/>
      <c r="BB202" s="233"/>
      <c r="BC202" s="233"/>
    </row>
    <row r="203" spans="1:55" ht="19.5" customHeight="1">
      <c r="A203" s="233"/>
      <c r="B203" s="233"/>
      <c r="C203" s="233"/>
      <c r="D203" s="233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  <c r="AH203" s="233"/>
      <c r="AI203" s="233"/>
      <c r="AJ203" s="233"/>
      <c r="AK203" s="233"/>
      <c r="AL203" s="233"/>
      <c r="AM203" s="233"/>
      <c r="AN203" s="233"/>
      <c r="AO203" s="233"/>
      <c r="AP203" s="233"/>
      <c r="AQ203" s="233"/>
      <c r="AR203" s="233"/>
      <c r="AS203" s="233"/>
      <c r="AT203" s="233"/>
      <c r="AU203" s="233"/>
      <c r="AV203" s="233"/>
      <c r="AW203" s="233"/>
      <c r="AX203" s="233"/>
      <c r="AY203" s="233"/>
      <c r="AZ203" s="233"/>
      <c r="BA203" s="233"/>
      <c r="BB203" s="233"/>
      <c r="BC203" s="233"/>
    </row>
    <row r="204" spans="1:55" ht="19.5" customHeight="1">
      <c r="A204" s="233"/>
      <c r="B204" s="233"/>
      <c r="C204" s="233"/>
      <c r="D204" s="233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233"/>
      <c r="AH204" s="233"/>
      <c r="AI204" s="233"/>
      <c r="AJ204" s="233"/>
      <c r="AK204" s="233"/>
      <c r="AL204" s="233"/>
      <c r="AM204" s="233"/>
      <c r="AN204" s="233"/>
      <c r="AO204" s="233"/>
      <c r="AP204" s="233"/>
      <c r="AQ204" s="233"/>
      <c r="AR204" s="233"/>
      <c r="AS204" s="233"/>
      <c r="AT204" s="233"/>
      <c r="AU204" s="233"/>
      <c r="AV204" s="233"/>
      <c r="AW204" s="233"/>
      <c r="AX204" s="233"/>
      <c r="AY204" s="233"/>
      <c r="AZ204" s="233"/>
      <c r="BA204" s="233"/>
      <c r="BB204" s="233"/>
      <c r="BC204" s="233"/>
    </row>
    <row r="205" spans="1:55" ht="19.5" customHeight="1">
      <c r="A205" s="233"/>
      <c r="B205" s="233"/>
      <c r="C205" s="233"/>
      <c r="D205" s="233"/>
      <c r="E205" s="233"/>
      <c r="F205" s="233"/>
      <c r="G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  <c r="V205" s="233"/>
      <c r="W205" s="233"/>
      <c r="X205" s="233"/>
      <c r="Y205" s="233"/>
      <c r="Z205" s="233"/>
      <c r="AA205" s="233"/>
      <c r="AB205" s="233"/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33"/>
      <c r="AN205" s="233"/>
      <c r="AO205" s="233"/>
      <c r="AP205" s="233"/>
      <c r="AQ205" s="233"/>
      <c r="AR205" s="233"/>
      <c r="AS205" s="233"/>
      <c r="AT205" s="233"/>
      <c r="AU205" s="233"/>
      <c r="AV205" s="233"/>
      <c r="AW205" s="233"/>
      <c r="AX205" s="233"/>
      <c r="AY205" s="233"/>
      <c r="AZ205" s="233"/>
      <c r="BA205" s="233"/>
      <c r="BB205" s="233"/>
      <c r="BC205" s="233"/>
    </row>
    <row r="206" spans="1:55" ht="19.5" customHeight="1">
      <c r="A206" s="233"/>
      <c r="B206" s="233"/>
      <c r="C206" s="233"/>
      <c r="D206" s="233"/>
      <c r="E206" s="233"/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  <c r="V206" s="233"/>
      <c r="W206" s="233"/>
      <c r="X206" s="233"/>
      <c r="Y206" s="233"/>
      <c r="Z206" s="233"/>
      <c r="AA206" s="233"/>
      <c r="AB206" s="233"/>
      <c r="AC206" s="233"/>
      <c r="AD206" s="233"/>
      <c r="AE206" s="233"/>
      <c r="AF206" s="233"/>
      <c r="AG206" s="233"/>
      <c r="AH206" s="233"/>
      <c r="AI206" s="233"/>
      <c r="AJ206" s="233"/>
      <c r="AK206" s="233"/>
      <c r="AL206" s="233"/>
      <c r="AM206" s="233"/>
      <c r="AN206" s="233"/>
      <c r="AO206" s="233"/>
      <c r="AP206" s="233"/>
      <c r="AQ206" s="233"/>
      <c r="AR206" s="233"/>
      <c r="AS206" s="233"/>
      <c r="AT206" s="233"/>
      <c r="AU206" s="233"/>
      <c r="AV206" s="233"/>
      <c r="AW206" s="233"/>
      <c r="AX206" s="233"/>
      <c r="AY206" s="233"/>
      <c r="AZ206" s="233"/>
      <c r="BA206" s="233"/>
      <c r="BB206" s="233"/>
      <c r="BC206" s="233"/>
    </row>
    <row r="207" spans="1:55" ht="19.5" customHeight="1">
      <c r="A207" s="233"/>
      <c r="B207" s="233"/>
      <c r="C207" s="233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  <c r="V207" s="233"/>
      <c r="W207" s="233"/>
      <c r="X207" s="233"/>
      <c r="Y207" s="233"/>
      <c r="Z207" s="233"/>
      <c r="AA207" s="233"/>
      <c r="AB207" s="233"/>
      <c r="AC207" s="233"/>
      <c r="AD207" s="233"/>
      <c r="AE207" s="233"/>
      <c r="AF207" s="233"/>
      <c r="AG207" s="233"/>
      <c r="AH207" s="233"/>
      <c r="AI207" s="233"/>
      <c r="AJ207" s="233"/>
      <c r="AK207" s="233"/>
      <c r="AL207" s="233"/>
      <c r="AM207" s="233"/>
      <c r="AN207" s="233"/>
      <c r="AO207" s="233"/>
      <c r="AP207" s="233"/>
      <c r="AQ207" s="233"/>
      <c r="AR207" s="233"/>
      <c r="AS207" s="233"/>
      <c r="AT207" s="233"/>
      <c r="AU207" s="233"/>
      <c r="AV207" s="233"/>
      <c r="AW207" s="233"/>
      <c r="AX207" s="233"/>
      <c r="AY207" s="233"/>
      <c r="AZ207" s="233"/>
      <c r="BA207" s="233"/>
      <c r="BB207" s="233"/>
      <c r="BC207" s="233"/>
    </row>
    <row r="208" spans="1:55" ht="19.5" customHeight="1">
      <c r="A208" s="233"/>
      <c r="B208" s="233"/>
      <c r="C208" s="233"/>
      <c r="D208" s="233"/>
      <c r="E208" s="233"/>
      <c r="F208" s="233"/>
      <c r="G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33"/>
      <c r="AS208" s="233"/>
      <c r="AT208" s="233"/>
      <c r="AU208" s="233"/>
      <c r="AV208" s="233"/>
      <c r="AW208" s="233"/>
      <c r="AX208" s="233"/>
      <c r="AY208" s="233"/>
      <c r="AZ208" s="233"/>
      <c r="BA208" s="233"/>
      <c r="BB208" s="233"/>
      <c r="BC208" s="233"/>
    </row>
    <row r="209" spans="1:55" ht="19.5" customHeight="1">
      <c r="A209" s="233"/>
      <c r="B209" s="233"/>
      <c r="C209" s="233"/>
      <c r="D209" s="233"/>
      <c r="E209" s="233"/>
      <c r="F209" s="233"/>
      <c r="G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  <c r="V209" s="233"/>
      <c r="W209" s="233"/>
      <c r="X209" s="233"/>
      <c r="Y209" s="233"/>
      <c r="Z209" s="233"/>
      <c r="AA209" s="233"/>
      <c r="AB209" s="233"/>
      <c r="AC209" s="233"/>
      <c r="AD209" s="233"/>
      <c r="AE209" s="233"/>
      <c r="AF209" s="233"/>
      <c r="AG209" s="233"/>
      <c r="AH209" s="233"/>
      <c r="AI209" s="233"/>
      <c r="AJ209" s="233"/>
      <c r="AK209" s="233"/>
      <c r="AL209" s="233"/>
      <c r="AM209" s="233"/>
      <c r="AN209" s="233"/>
      <c r="AO209" s="233"/>
      <c r="AP209" s="233"/>
      <c r="AQ209" s="233"/>
      <c r="AR209" s="233"/>
      <c r="AS209" s="233"/>
      <c r="AT209" s="233"/>
      <c r="AU209" s="233"/>
      <c r="AV209" s="233"/>
      <c r="AW209" s="233"/>
      <c r="AX209" s="233"/>
      <c r="AY209" s="233"/>
      <c r="AZ209" s="233"/>
      <c r="BA209" s="233"/>
      <c r="BB209" s="233"/>
      <c r="BC209" s="233"/>
    </row>
    <row r="210" spans="1:55" ht="19.5" customHeight="1">
      <c r="A210" s="233"/>
      <c r="B210" s="233"/>
      <c r="C210" s="233"/>
      <c r="D210" s="233"/>
      <c r="E210" s="233"/>
      <c r="F210" s="233"/>
      <c r="G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3"/>
      <c r="AG210" s="233"/>
      <c r="AH210" s="233"/>
      <c r="AI210" s="233"/>
      <c r="AJ210" s="233"/>
      <c r="AK210" s="233"/>
      <c r="AL210" s="233"/>
      <c r="AM210" s="233"/>
      <c r="AN210" s="233"/>
      <c r="AO210" s="233"/>
      <c r="AP210" s="233"/>
      <c r="AQ210" s="233"/>
      <c r="AR210" s="233"/>
      <c r="AS210" s="233"/>
      <c r="AT210" s="233"/>
      <c r="AU210" s="233"/>
      <c r="AV210" s="233"/>
      <c r="AW210" s="233"/>
      <c r="AX210" s="233"/>
      <c r="AY210" s="233"/>
      <c r="AZ210" s="233"/>
      <c r="BA210" s="233"/>
      <c r="BB210" s="233"/>
      <c r="BC210" s="233"/>
    </row>
    <row r="211" spans="1:55" ht="19.5" customHeight="1">
      <c r="A211" s="233"/>
      <c r="B211" s="233"/>
      <c r="C211" s="233"/>
      <c r="D211" s="233"/>
      <c r="E211" s="233"/>
      <c r="F211" s="233"/>
      <c r="G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33"/>
      <c r="AG211" s="233"/>
      <c r="AH211" s="233"/>
      <c r="AI211" s="233"/>
      <c r="AJ211" s="233"/>
      <c r="AK211" s="233"/>
      <c r="AL211" s="233"/>
      <c r="AM211" s="233"/>
      <c r="AN211" s="233"/>
      <c r="AO211" s="233"/>
      <c r="AP211" s="233"/>
      <c r="AQ211" s="233"/>
      <c r="AR211" s="233"/>
      <c r="AS211" s="233"/>
      <c r="AT211" s="233"/>
      <c r="AU211" s="233"/>
      <c r="AV211" s="233"/>
      <c r="AW211" s="233"/>
      <c r="AX211" s="233"/>
      <c r="AY211" s="233"/>
      <c r="AZ211" s="233"/>
      <c r="BA211" s="233"/>
      <c r="BB211" s="233"/>
      <c r="BC211" s="233"/>
    </row>
    <row r="212" spans="1:55" ht="19.5" customHeight="1">
      <c r="A212" s="233"/>
      <c r="B212" s="233"/>
      <c r="C212" s="233"/>
      <c r="D212" s="233"/>
      <c r="E212" s="233"/>
      <c r="F212" s="233"/>
      <c r="G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  <c r="V212" s="233"/>
      <c r="W212" s="233"/>
      <c r="X212" s="233"/>
      <c r="Y212" s="233"/>
      <c r="Z212" s="233"/>
      <c r="AA212" s="233"/>
      <c r="AB212" s="233"/>
      <c r="AC212" s="233"/>
      <c r="AD212" s="233"/>
      <c r="AE212" s="233"/>
      <c r="AF212" s="233"/>
      <c r="AG212" s="233"/>
      <c r="AH212" s="233"/>
      <c r="AI212" s="233"/>
      <c r="AJ212" s="233"/>
      <c r="AK212" s="233"/>
      <c r="AL212" s="233"/>
      <c r="AM212" s="233"/>
      <c r="AN212" s="233"/>
      <c r="AO212" s="233"/>
      <c r="AP212" s="233"/>
      <c r="AQ212" s="233"/>
      <c r="AR212" s="233"/>
      <c r="AS212" s="233"/>
      <c r="AT212" s="233"/>
      <c r="AU212" s="233"/>
      <c r="AV212" s="233"/>
      <c r="AW212" s="233"/>
      <c r="AX212" s="233"/>
      <c r="AY212" s="233"/>
      <c r="AZ212" s="233"/>
      <c r="BA212" s="233"/>
      <c r="BB212" s="233"/>
      <c r="BC212" s="233"/>
    </row>
    <row r="213" spans="1:55" ht="19.5" customHeight="1">
      <c r="A213" s="233"/>
      <c r="B213" s="233"/>
      <c r="C213" s="233"/>
      <c r="D213" s="233"/>
      <c r="E213" s="233"/>
      <c r="F213" s="233"/>
      <c r="G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3"/>
      <c r="AG213" s="233"/>
      <c r="AH213" s="233"/>
      <c r="AI213" s="233"/>
      <c r="AJ213" s="233"/>
      <c r="AK213" s="233"/>
      <c r="AL213" s="233"/>
      <c r="AM213" s="233"/>
      <c r="AN213" s="233"/>
      <c r="AO213" s="233"/>
      <c r="AP213" s="233"/>
      <c r="AQ213" s="233"/>
      <c r="AR213" s="233"/>
      <c r="AS213" s="233"/>
      <c r="AT213" s="233"/>
      <c r="AU213" s="233"/>
      <c r="AV213" s="233"/>
      <c r="AW213" s="233"/>
      <c r="AX213" s="233"/>
      <c r="AY213" s="233"/>
      <c r="AZ213" s="233"/>
      <c r="BA213" s="233"/>
      <c r="BB213" s="233"/>
      <c r="BC213" s="233"/>
    </row>
    <row r="214" spans="1:55" ht="19.5" customHeight="1">
      <c r="A214" s="233"/>
      <c r="B214" s="233"/>
      <c r="C214" s="233"/>
      <c r="D214" s="233"/>
      <c r="E214" s="233"/>
      <c r="F214" s="233"/>
      <c r="G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  <c r="V214" s="233"/>
      <c r="W214" s="233"/>
      <c r="X214" s="233"/>
      <c r="Y214" s="233"/>
      <c r="Z214" s="233"/>
      <c r="AA214" s="233"/>
      <c r="AB214" s="233"/>
      <c r="AC214" s="233"/>
      <c r="AD214" s="233"/>
      <c r="AE214" s="233"/>
      <c r="AF214" s="233"/>
      <c r="AG214" s="233"/>
      <c r="AH214" s="233"/>
      <c r="AI214" s="233"/>
      <c r="AJ214" s="233"/>
      <c r="AK214" s="233"/>
      <c r="AL214" s="233"/>
      <c r="AM214" s="233"/>
      <c r="AN214" s="233"/>
      <c r="AO214" s="233"/>
      <c r="AP214" s="233"/>
      <c r="AQ214" s="233"/>
      <c r="AR214" s="233"/>
      <c r="AS214" s="233"/>
      <c r="AT214" s="233"/>
      <c r="AU214" s="233"/>
      <c r="AV214" s="233"/>
      <c r="AW214" s="233"/>
      <c r="AX214" s="233"/>
      <c r="AY214" s="233"/>
      <c r="AZ214" s="233"/>
      <c r="BA214" s="233"/>
      <c r="BB214" s="233"/>
      <c r="BC214" s="233"/>
    </row>
    <row r="215" spans="1:55" ht="19.5" customHeight="1">
      <c r="A215" s="233"/>
      <c r="B215" s="233"/>
      <c r="C215" s="233"/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  <c r="V215" s="233"/>
      <c r="W215" s="233"/>
      <c r="X215" s="233"/>
      <c r="Y215" s="233"/>
      <c r="Z215" s="233"/>
      <c r="AA215" s="233"/>
      <c r="AB215" s="233"/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  <c r="AQ215" s="233"/>
      <c r="AR215" s="233"/>
      <c r="AS215" s="233"/>
      <c r="AT215" s="233"/>
      <c r="AU215" s="233"/>
      <c r="AV215" s="233"/>
      <c r="AW215" s="233"/>
      <c r="AX215" s="233"/>
      <c r="AY215" s="233"/>
      <c r="AZ215" s="233"/>
      <c r="BA215" s="233"/>
      <c r="BB215" s="233"/>
      <c r="BC215" s="233"/>
    </row>
    <row r="216" spans="1:55" ht="19.5" customHeight="1">
      <c r="A216" s="233"/>
      <c r="B216" s="233"/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3"/>
      <c r="Z216" s="233"/>
      <c r="AA216" s="233"/>
      <c r="AB216" s="233"/>
      <c r="AC216" s="233"/>
      <c r="AD216" s="233"/>
      <c r="AE216" s="233"/>
      <c r="AF216" s="233"/>
      <c r="AG216" s="233"/>
      <c r="AH216" s="233"/>
      <c r="AI216" s="233"/>
      <c r="AJ216" s="233"/>
      <c r="AK216" s="233"/>
      <c r="AL216" s="233"/>
      <c r="AM216" s="233"/>
      <c r="AN216" s="233"/>
      <c r="AO216" s="233"/>
      <c r="AP216" s="233"/>
      <c r="AQ216" s="233"/>
      <c r="AR216" s="233"/>
      <c r="AS216" s="233"/>
      <c r="AT216" s="233"/>
      <c r="AU216" s="233"/>
      <c r="AV216" s="233"/>
      <c r="AW216" s="233"/>
      <c r="AX216" s="233"/>
      <c r="AY216" s="233"/>
      <c r="AZ216" s="233"/>
      <c r="BA216" s="233"/>
      <c r="BB216" s="233"/>
      <c r="BC216" s="233"/>
    </row>
    <row r="217" spans="1:55" ht="19.5" customHeight="1">
      <c r="A217" s="233"/>
      <c r="B217" s="233"/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3"/>
      <c r="Z217" s="233"/>
      <c r="AA217" s="233"/>
      <c r="AB217" s="233"/>
      <c r="AC217" s="233"/>
      <c r="AD217" s="233"/>
      <c r="AE217" s="233"/>
      <c r="AF217" s="233"/>
      <c r="AG217" s="233"/>
      <c r="AH217" s="233"/>
      <c r="AI217" s="233"/>
      <c r="AJ217" s="233"/>
      <c r="AK217" s="233"/>
      <c r="AL217" s="233"/>
      <c r="AM217" s="233"/>
      <c r="AN217" s="233"/>
      <c r="AO217" s="233"/>
      <c r="AP217" s="233"/>
      <c r="AQ217" s="233"/>
      <c r="AR217" s="233"/>
      <c r="AS217" s="233"/>
      <c r="AT217" s="233"/>
      <c r="AU217" s="233"/>
      <c r="AV217" s="233"/>
      <c r="AW217" s="233"/>
      <c r="AX217" s="233"/>
      <c r="AY217" s="233"/>
      <c r="AZ217" s="233"/>
      <c r="BA217" s="233"/>
      <c r="BB217" s="233"/>
      <c r="BC217" s="233"/>
    </row>
    <row r="218" spans="1:55" ht="19.5" customHeight="1">
      <c r="A218" s="233"/>
      <c r="B218" s="233"/>
      <c r="C218" s="233"/>
      <c r="D218" s="233"/>
      <c r="E218" s="233"/>
      <c r="F218" s="233"/>
      <c r="G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  <c r="V218" s="233"/>
      <c r="W218" s="233"/>
      <c r="X218" s="233"/>
      <c r="Y218" s="233"/>
      <c r="Z218" s="233"/>
      <c r="AA218" s="233"/>
      <c r="AB218" s="233"/>
      <c r="AC218" s="233"/>
      <c r="AD218" s="233"/>
      <c r="AE218" s="233"/>
      <c r="AF218" s="233"/>
      <c r="AG218" s="233"/>
      <c r="AH218" s="233"/>
      <c r="AI218" s="233"/>
      <c r="AJ218" s="233"/>
      <c r="AK218" s="233"/>
      <c r="AL218" s="233"/>
      <c r="AM218" s="233"/>
      <c r="AN218" s="233"/>
      <c r="AO218" s="233"/>
      <c r="AP218" s="233"/>
      <c r="AQ218" s="233"/>
      <c r="AR218" s="233"/>
      <c r="AS218" s="233"/>
      <c r="AT218" s="233"/>
      <c r="AU218" s="233"/>
      <c r="AV218" s="233"/>
      <c r="AW218" s="233"/>
      <c r="AX218" s="233"/>
      <c r="AY218" s="233"/>
      <c r="AZ218" s="233"/>
      <c r="BA218" s="233"/>
      <c r="BB218" s="233"/>
      <c r="BC218" s="233"/>
    </row>
    <row r="219" spans="1:55" ht="19.5" customHeight="1">
      <c r="A219" s="233"/>
      <c r="B219" s="233"/>
      <c r="C219" s="233"/>
      <c r="D219" s="233"/>
      <c r="E219" s="233"/>
      <c r="F219" s="233"/>
      <c r="G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  <c r="V219" s="233"/>
      <c r="W219" s="233"/>
      <c r="X219" s="233"/>
      <c r="Y219" s="233"/>
      <c r="Z219" s="233"/>
      <c r="AA219" s="233"/>
      <c r="AB219" s="233"/>
      <c r="AC219" s="233"/>
      <c r="AD219" s="233"/>
      <c r="AE219" s="233"/>
      <c r="AF219" s="233"/>
      <c r="AG219" s="233"/>
      <c r="AH219" s="233"/>
      <c r="AI219" s="233"/>
      <c r="AJ219" s="233"/>
      <c r="AK219" s="233"/>
      <c r="AL219" s="233"/>
      <c r="AM219" s="233"/>
      <c r="AN219" s="233"/>
      <c r="AO219" s="233"/>
      <c r="AP219" s="233"/>
      <c r="AQ219" s="233"/>
      <c r="AR219" s="233"/>
      <c r="AS219" s="233"/>
      <c r="AT219" s="233"/>
      <c r="AU219" s="233"/>
      <c r="AV219" s="233"/>
      <c r="AW219" s="233"/>
      <c r="AX219" s="233"/>
      <c r="AY219" s="233"/>
      <c r="AZ219" s="233"/>
      <c r="BA219" s="233"/>
      <c r="BB219" s="233"/>
      <c r="BC219" s="233"/>
    </row>
    <row r="220" spans="1:55" ht="19.5" customHeight="1">
      <c r="A220" s="233"/>
      <c r="B220" s="233"/>
      <c r="C220" s="233"/>
      <c r="D220" s="233"/>
      <c r="E220" s="233"/>
      <c r="F220" s="233"/>
      <c r="G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  <c r="V220" s="233"/>
      <c r="W220" s="233"/>
      <c r="X220" s="233"/>
      <c r="Y220" s="233"/>
      <c r="Z220" s="233"/>
      <c r="AA220" s="233"/>
      <c r="AB220" s="233"/>
      <c r="AC220" s="233"/>
      <c r="AD220" s="233"/>
      <c r="AE220" s="233"/>
      <c r="AF220" s="233"/>
      <c r="AG220" s="233"/>
      <c r="AH220" s="233"/>
      <c r="AI220" s="233"/>
      <c r="AJ220" s="233"/>
      <c r="AK220" s="233"/>
      <c r="AL220" s="233"/>
      <c r="AM220" s="233"/>
      <c r="AN220" s="233"/>
      <c r="AO220" s="233"/>
      <c r="AP220" s="233"/>
      <c r="AQ220" s="233"/>
      <c r="AR220" s="233"/>
      <c r="AS220" s="233"/>
      <c r="AT220" s="233"/>
      <c r="AU220" s="233"/>
      <c r="AV220" s="233"/>
      <c r="AW220" s="233"/>
      <c r="AX220" s="233"/>
      <c r="AY220" s="233"/>
      <c r="AZ220" s="233"/>
      <c r="BA220" s="233"/>
      <c r="BB220" s="233"/>
      <c r="BC220" s="233"/>
    </row>
    <row r="221" spans="1:55" ht="19.5" customHeight="1">
      <c r="A221" s="233"/>
      <c r="B221" s="233"/>
      <c r="C221" s="233"/>
      <c r="D221" s="233"/>
      <c r="E221" s="233"/>
      <c r="F221" s="233"/>
      <c r="G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3"/>
      <c r="X221" s="233"/>
      <c r="Y221" s="233"/>
      <c r="Z221" s="233"/>
      <c r="AA221" s="233"/>
      <c r="AB221" s="233"/>
      <c r="AC221" s="233"/>
      <c r="AD221" s="233"/>
      <c r="AE221" s="233"/>
      <c r="AF221" s="233"/>
      <c r="AG221" s="233"/>
      <c r="AH221" s="233"/>
      <c r="AI221" s="233"/>
      <c r="AJ221" s="233"/>
      <c r="AK221" s="233"/>
      <c r="AL221" s="233"/>
      <c r="AM221" s="233"/>
      <c r="AN221" s="233"/>
      <c r="AO221" s="233"/>
      <c r="AP221" s="233"/>
      <c r="AQ221" s="233"/>
      <c r="AR221" s="233"/>
      <c r="AS221" s="233"/>
      <c r="AT221" s="233"/>
      <c r="AU221" s="233"/>
      <c r="AV221" s="233"/>
      <c r="AW221" s="233"/>
      <c r="AX221" s="233"/>
      <c r="AY221" s="233"/>
      <c r="AZ221" s="233"/>
      <c r="BA221" s="233"/>
      <c r="BB221" s="233"/>
      <c r="BC221" s="233"/>
    </row>
    <row r="222" spans="1:55" ht="19.5" customHeight="1">
      <c r="A222" s="233"/>
      <c r="B222" s="233"/>
      <c r="C222" s="233"/>
      <c r="D222" s="233"/>
      <c r="E222" s="233"/>
      <c r="F222" s="233"/>
      <c r="G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  <c r="V222" s="233"/>
      <c r="W222" s="233"/>
      <c r="X222" s="233"/>
      <c r="Y222" s="233"/>
      <c r="Z222" s="233"/>
      <c r="AA222" s="233"/>
      <c r="AB222" s="233"/>
      <c r="AC222" s="233"/>
      <c r="AD222" s="233"/>
      <c r="AE222" s="233"/>
      <c r="AF222" s="233"/>
      <c r="AG222" s="233"/>
      <c r="AH222" s="233"/>
      <c r="AI222" s="233"/>
      <c r="AJ222" s="233"/>
      <c r="AK222" s="233"/>
      <c r="AL222" s="233"/>
      <c r="AM222" s="233"/>
      <c r="AN222" s="233"/>
      <c r="AO222" s="233"/>
      <c r="AP222" s="233"/>
      <c r="AQ222" s="233"/>
      <c r="AR222" s="233"/>
      <c r="AS222" s="233"/>
      <c r="AT222" s="233"/>
      <c r="AU222" s="233"/>
      <c r="AV222" s="233"/>
      <c r="AW222" s="233"/>
      <c r="AX222" s="233"/>
      <c r="AY222" s="233"/>
      <c r="AZ222" s="233"/>
      <c r="BA222" s="233"/>
      <c r="BB222" s="233"/>
      <c r="BC222" s="233"/>
    </row>
    <row r="223" spans="1:55" ht="19.5" customHeight="1">
      <c r="A223" s="233"/>
      <c r="B223" s="233"/>
      <c r="C223" s="233"/>
      <c r="D223" s="233"/>
      <c r="E223" s="233"/>
      <c r="F223" s="233"/>
      <c r="G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3"/>
      <c r="AI223" s="233"/>
      <c r="AJ223" s="233"/>
      <c r="AK223" s="233"/>
      <c r="AL223" s="233"/>
      <c r="AM223" s="233"/>
      <c r="AN223" s="233"/>
      <c r="AO223" s="233"/>
      <c r="AP223" s="233"/>
      <c r="AQ223" s="233"/>
      <c r="AR223" s="233"/>
      <c r="AS223" s="233"/>
      <c r="AT223" s="233"/>
      <c r="AU223" s="233"/>
      <c r="AV223" s="233"/>
      <c r="AW223" s="233"/>
      <c r="AX223" s="233"/>
      <c r="AY223" s="233"/>
      <c r="AZ223" s="233"/>
      <c r="BA223" s="233"/>
      <c r="BB223" s="233"/>
      <c r="BC223" s="233"/>
    </row>
    <row r="224" spans="1:55" ht="19.5" customHeight="1">
      <c r="A224" s="233"/>
      <c r="B224" s="233"/>
      <c r="C224" s="233"/>
      <c r="D224" s="233"/>
      <c r="E224" s="233"/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  <c r="V224" s="233"/>
      <c r="W224" s="233"/>
      <c r="X224" s="233"/>
      <c r="Y224" s="233"/>
      <c r="Z224" s="233"/>
      <c r="AA224" s="233"/>
      <c r="AB224" s="233"/>
      <c r="AC224" s="233"/>
      <c r="AD224" s="233"/>
      <c r="AE224" s="233"/>
      <c r="AF224" s="233"/>
      <c r="AG224" s="233"/>
      <c r="AH224" s="233"/>
      <c r="AI224" s="233"/>
      <c r="AJ224" s="233"/>
      <c r="AK224" s="233"/>
      <c r="AL224" s="233"/>
      <c r="AM224" s="233"/>
      <c r="AN224" s="233"/>
      <c r="AO224" s="233"/>
      <c r="AP224" s="233"/>
      <c r="AQ224" s="233"/>
      <c r="AR224" s="233"/>
      <c r="AS224" s="233"/>
      <c r="AT224" s="233"/>
      <c r="AU224" s="233"/>
      <c r="AV224" s="233"/>
      <c r="AW224" s="233"/>
      <c r="AX224" s="233"/>
      <c r="AY224" s="233"/>
      <c r="AZ224" s="233"/>
      <c r="BA224" s="233"/>
      <c r="BB224" s="233"/>
      <c r="BC224" s="233"/>
    </row>
    <row r="225" spans="1:55" ht="19.5" customHeight="1">
      <c r="A225" s="233"/>
      <c r="B225" s="233"/>
      <c r="C225" s="233"/>
      <c r="D225" s="233"/>
      <c r="E225" s="233"/>
      <c r="F225" s="233"/>
      <c r="G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  <c r="V225" s="233"/>
      <c r="W225" s="233"/>
      <c r="X225" s="233"/>
      <c r="Y225" s="233"/>
      <c r="Z225" s="233"/>
      <c r="AA225" s="233"/>
      <c r="AB225" s="233"/>
      <c r="AC225" s="233"/>
      <c r="AD225" s="233"/>
      <c r="AE225" s="233"/>
      <c r="AF225" s="233"/>
      <c r="AG225" s="233"/>
      <c r="AH225" s="233"/>
      <c r="AI225" s="233"/>
      <c r="AJ225" s="233"/>
      <c r="AK225" s="233"/>
      <c r="AL225" s="233"/>
      <c r="AM225" s="233"/>
      <c r="AN225" s="233"/>
      <c r="AO225" s="233"/>
      <c r="AP225" s="233"/>
      <c r="AQ225" s="233"/>
      <c r="AR225" s="233"/>
      <c r="AS225" s="233"/>
      <c r="AT225" s="233"/>
      <c r="AU225" s="233"/>
      <c r="AV225" s="233"/>
      <c r="AW225" s="233"/>
      <c r="AX225" s="233"/>
      <c r="AY225" s="233"/>
      <c r="AZ225" s="233"/>
      <c r="BA225" s="233"/>
      <c r="BB225" s="233"/>
      <c r="BC225" s="233"/>
    </row>
    <row r="226" spans="1:55" ht="19.5" customHeight="1">
      <c r="A226" s="233"/>
      <c r="B226" s="233"/>
      <c r="C226" s="233"/>
      <c r="D226" s="233"/>
      <c r="E226" s="233"/>
      <c r="F226" s="233"/>
      <c r="G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33"/>
      <c r="AM226" s="233"/>
      <c r="AN226" s="233"/>
      <c r="AO226" s="233"/>
      <c r="AP226" s="233"/>
      <c r="AQ226" s="233"/>
      <c r="AR226" s="233"/>
      <c r="AS226" s="233"/>
      <c r="AT226" s="233"/>
      <c r="AU226" s="233"/>
      <c r="AV226" s="233"/>
      <c r="AW226" s="233"/>
      <c r="AX226" s="233"/>
      <c r="AY226" s="233"/>
      <c r="AZ226" s="233"/>
      <c r="BA226" s="233"/>
      <c r="BB226" s="233"/>
      <c r="BC226" s="233"/>
    </row>
    <row r="227" spans="1:55" ht="19.5" customHeight="1">
      <c r="A227" s="233"/>
      <c r="B227" s="233"/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33"/>
      <c r="X227" s="233"/>
      <c r="Y227" s="233"/>
      <c r="Z227" s="233"/>
      <c r="AA227" s="233"/>
      <c r="AB227" s="233"/>
      <c r="AC227" s="233"/>
      <c r="AD227" s="233"/>
      <c r="AE227" s="233"/>
      <c r="AF227" s="233"/>
      <c r="AG227" s="233"/>
      <c r="AH227" s="233"/>
      <c r="AI227" s="233"/>
      <c r="AJ227" s="233"/>
      <c r="AK227" s="233"/>
      <c r="AL227" s="233"/>
      <c r="AM227" s="233"/>
      <c r="AN227" s="233"/>
      <c r="AO227" s="233"/>
      <c r="AP227" s="233"/>
      <c r="AQ227" s="233"/>
      <c r="AR227" s="233"/>
      <c r="AS227" s="233"/>
      <c r="AT227" s="233"/>
      <c r="AU227" s="233"/>
      <c r="AV227" s="233"/>
      <c r="AW227" s="233"/>
      <c r="AX227" s="233"/>
      <c r="AY227" s="233"/>
      <c r="AZ227" s="233"/>
      <c r="BA227" s="233"/>
      <c r="BB227" s="233"/>
      <c r="BC227" s="233"/>
    </row>
    <row r="228" spans="1:55" ht="19.5" customHeight="1">
      <c r="A228" s="233"/>
      <c r="B228" s="233"/>
      <c r="C228" s="233"/>
      <c r="D228" s="233"/>
      <c r="E228" s="233"/>
      <c r="F228" s="233"/>
      <c r="G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  <c r="V228" s="233"/>
      <c r="W228" s="233"/>
      <c r="X228" s="233"/>
      <c r="Y228" s="233"/>
      <c r="Z228" s="233"/>
      <c r="AA228" s="233"/>
      <c r="AB228" s="233"/>
      <c r="AC228" s="233"/>
      <c r="AD228" s="233"/>
      <c r="AE228" s="233"/>
      <c r="AF228" s="233"/>
      <c r="AG228" s="233"/>
      <c r="AH228" s="233"/>
      <c r="AI228" s="233"/>
      <c r="AJ228" s="233"/>
      <c r="AK228" s="233"/>
      <c r="AL228" s="233"/>
      <c r="AM228" s="233"/>
      <c r="AN228" s="233"/>
      <c r="AO228" s="233"/>
      <c r="AP228" s="233"/>
      <c r="AQ228" s="233"/>
      <c r="AR228" s="233"/>
      <c r="AS228" s="233"/>
      <c r="AT228" s="233"/>
      <c r="AU228" s="233"/>
      <c r="AV228" s="233"/>
      <c r="AW228" s="233"/>
      <c r="AX228" s="233"/>
      <c r="AY228" s="233"/>
      <c r="AZ228" s="233"/>
      <c r="BA228" s="233"/>
      <c r="BB228" s="233"/>
      <c r="BC228" s="233"/>
    </row>
    <row r="229" spans="1:55" ht="19.5" customHeight="1">
      <c r="A229" s="233"/>
      <c r="B229" s="233"/>
      <c r="C229" s="233"/>
      <c r="D229" s="233"/>
      <c r="E229" s="233"/>
      <c r="F229" s="233"/>
      <c r="G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  <c r="V229" s="233"/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233"/>
      <c r="AM229" s="233"/>
      <c r="AN229" s="233"/>
      <c r="AO229" s="233"/>
      <c r="AP229" s="233"/>
      <c r="AQ229" s="233"/>
      <c r="AR229" s="233"/>
      <c r="AS229" s="233"/>
      <c r="AT229" s="233"/>
      <c r="AU229" s="233"/>
      <c r="AV229" s="233"/>
      <c r="AW229" s="233"/>
      <c r="AX229" s="233"/>
      <c r="AY229" s="233"/>
      <c r="AZ229" s="233"/>
      <c r="BA229" s="233"/>
      <c r="BB229" s="233"/>
      <c r="BC229" s="233"/>
    </row>
    <row r="230" spans="1:55" ht="19.5" customHeight="1">
      <c r="A230" s="233"/>
      <c r="B230" s="233"/>
      <c r="C230" s="233"/>
      <c r="D230" s="233"/>
      <c r="E230" s="233"/>
      <c r="F230" s="233"/>
      <c r="G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  <c r="V230" s="233"/>
      <c r="W230" s="233"/>
      <c r="X230" s="233"/>
      <c r="Y230" s="233"/>
      <c r="Z230" s="233"/>
      <c r="AA230" s="233"/>
      <c r="AB230" s="233"/>
      <c r="AC230" s="233"/>
      <c r="AD230" s="233"/>
      <c r="AE230" s="233"/>
      <c r="AF230" s="233"/>
      <c r="AG230" s="233"/>
      <c r="AH230" s="233"/>
      <c r="AI230" s="233"/>
      <c r="AJ230" s="233"/>
      <c r="AK230" s="233"/>
      <c r="AL230" s="233"/>
      <c r="AM230" s="233"/>
      <c r="AN230" s="233"/>
      <c r="AO230" s="233"/>
      <c r="AP230" s="233"/>
      <c r="AQ230" s="233"/>
      <c r="AR230" s="233"/>
      <c r="AS230" s="233"/>
      <c r="AT230" s="233"/>
      <c r="AU230" s="233"/>
      <c r="AV230" s="233"/>
      <c r="AW230" s="233"/>
      <c r="AX230" s="233"/>
      <c r="AY230" s="233"/>
      <c r="AZ230" s="233"/>
      <c r="BA230" s="233"/>
      <c r="BB230" s="233"/>
      <c r="BC230" s="233"/>
    </row>
    <row r="231" spans="1:55" ht="19.5" customHeight="1">
      <c r="A231" s="233"/>
      <c r="B231" s="233"/>
      <c r="C231" s="233"/>
      <c r="D231" s="233"/>
      <c r="E231" s="233"/>
      <c r="F231" s="233"/>
      <c r="G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  <c r="V231" s="233"/>
      <c r="W231" s="233"/>
      <c r="X231" s="233"/>
      <c r="Y231" s="233"/>
      <c r="Z231" s="233"/>
      <c r="AA231" s="233"/>
      <c r="AB231" s="233"/>
      <c r="AC231" s="233"/>
      <c r="AD231" s="233"/>
      <c r="AE231" s="233"/>
      <c r="AF231" s="233"/>
      <c r="AG231" s="233"/>
      <c r="AH231" s="233"/>
      <c r="AI231" s="233"/>
      <c r="AJ231" s="233"/>
      <c r="AK231" s="233"/>
      <c r="AL231" s="233"/>
      <c r="AM231" s="233"/>
      <c r="AN231" s="233"/>
      <c r="AO231" s="233"/>
      <c r="AP231" s="233"/>
      <c r="AQ231" s="233"/>
      <c r="AR231" s="233"/>
      <c r="AS231" s="233"/>
      <c r="AT231" s="233"/>
      <c r="AU231" s="233"/>
      <c r="AV231" s="233"/>
      <c r="AW231" s="233"/>
      <c r="AX231" s="233"/>
      <c r="AY231" s="233"/>
      <c r="AZ231" s="233"/>
      <c r="BA231" s="233"/>
      <c r="BB231" s="233"/>
      <c r="BC231" s="233"/>
    </row>
    <row r="232" spans="1:55" ht="19.5" customHeight="1">
      <c r="A232" s="233"/>
      <c r="B232" s="233"/>
      <c r="C232" s="233"/>
      <c r="D232" s="233"/>
      <c r="E232" s="233"/>
      <c r="F232" s="233"/>
      <c r="G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  <c r="V232" s="233"/>
      <c r="W232" s="233"/>
      <c r="X232" s="233"/>
      <c r="Y232" s="233"/>
      <c r="Z232" s="233"/>
      <c r="AA232" s="233"/>
      <c r="AB232" s="233"/>
      <c r="AC232" s="233"/>
      <c r="AD232" s="233"/>
      <c r="AE232" s="233"/>
      <c r="AF232" s="233"/>
      <c r="AG232" s="233"/>
      <c r="AH232" s="233"/>
      <c r="AI232" s="233"/>
      <c r="AJ232" s="233"/>
      <c r="AK232" s="233"/>
      <c r="AL232" s="233"/>
      <c r="AM232" s="233"/>
      <c r="AN232" s="233"/>
      <c r="AO232" s="233"/>
      <c r="AP232" s="233"/>
      <c r="AQ232" s="233"/>
      <c r="AR232" s="233"/>
      <c r="AS232" s="233"/>
      <c r="AT232" s="233"/>
      <c r="AU232" s="233"/>
      <c r="AV232" s="233"/>
      <c r="AW232" s="233"/>
      <c r="AX232" s="233"/>
      <c r="AY232" s="233"/>
      <c r="AZ232" s="233"/>
      <c r="BA232" s="233"/>
      <c r="BB232" s="233"/>
      <c r="BC232" s="233"/>
    </row>
    <row r="233" spans="1:55" ht="19.5" customHeight="1">
      <c r="A233" s="233"/>
      <c r="B233" s="233"/>
      <c r="C233" s="233"/>
      <c r="D233" s="233"/>
      <c r="E233" s="233"/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33"/>
      <c r="W233" s="233"/>
      <c r="X233" s="233"/>
      <c r="Y233" s="233"/>
      <c r="Z233" s="233"/>
      <c r="AA233" s="233"/>
      <c r="AB233" s="233"/>
      <c r="AC233" s="233"/>
      <c r="AD233" s="233"/>
      <c r="AE233" s="233"/>
      <c r="AF233" s="233"/>
      <c r="AG233" s="233"/>
      <c r="AH233" s="233"/>
      <c r="AI233" s="233"/>
      <c r="AJ233" s="233"/>
      <c r="AK233" s="233"/>
      <c r="AL233" s="233"/>
      <c r="AM233" s="233"/>
      <c r="AN233" s="233"/>
      <c r="AO233" s="233"/>
      <c r="AP233" s="233"/>
      <c r="AQ233" s="233"/>
      <c r="AR233" s="233"/>
      <c r="AS233" s="233"/>
      <c r="AT233" s="233"/>
      <c r="AU233" s="233"/>
      <c r="AV233" s="233"/>
      <c r="AW233" s="233"/>
      <c r="AX233" s="233"/>
      <c r="AY233" s="233"/>
      <c r="AZ233" s="233"/>
      <c r="BA233" s="233"/>
      <c r="BB233" s="233"/>
      <c r="BC233" s="233"/>
    </row>
    <row r="234" spans="1:55" ht="19.5" customHeight="1">
      <c r="A234" s="233"/>
      <c r="B234" s="233"/>
      <c r="C234" s="233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33"/>
      <c r="W234" s="233"/>
      <c r="X234" s="233"/>
      <c r="Y234" s="233"/>
      <c r="Z234" s="233"/>
      <c r="AA234" s="233"/>
      <c r="AB234" s="233"/>
      <c r="AC234" s="233"/>
      <c r="AD234" s="233"/>
      <c r="AE234" s="233"/>
      <c r="AF234" s="233"/>
      <c r="AG234" s="233"/>
      <c r="AH234" s="233"/>
      <c r="AI234" s="233"/>
      <c r="AJ234" s="233"/>
      <c r="AK234" s="233"/>
      <c r="AL234" s="233"/>
      <c r="AM234" s="233"/>
      <c r="AN234" s="233"/>
      <c r="AO234" s="233"/>
      <c r="AP234" s="233"/>
      <c r="AQ234" s="233"/>
      <c r="AR234" s="233"/>
      <c r="AS234" s="233"/>
      <c r="AT234" s="233"/>
      <c r="AU234" s="233"/>
      <c r="AV234" s="233"/>
      <c r="AW234" s="233"/>
      <c r="AX234" s="233"/>
      <c r="AY234" s="233"/>
      <c r="AZ234" s="233"/>
      <c r="BA234" s="233"/>
      <c r="BB234" s="233"/>
      <c r="BC234" s="233"/>
    </row>
    <row r="235" spans="1:55" ht="19.5" customHeight="1">
      <c r="A235" s="233"/>
      <c r="B235" s="233"/>
      <c r="C235" s="233"/>
      <c r="D235" s="233"/>
      <c r="E235" s="233"/>
      <c r="F235" s="233"/>
      <c r="G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33"/>
      <c r="AG235" s="233"/>
      <c r="AH235" s="233"/>
      <c r="AI235" s="233"/>
      <c r="AJ235" s="233"/>
      <c r="AK235" s="233"/>
      <c r="AL235" s="233"/>
      <c r="AM235" s="233"/>
      <c r="AN235" s="233"/>
      <c r="AO235" s="233"/>
      <c r="AP235" s="233"/>
      <c r="AQ235" s="233"/>
      <c r="AR235" s="233"/>
      <c r="AS235" s="233"/>
      <c r="AT235" s="233"/>
      <c r="AU235" s="233"/>
      <c r="AV235" s="233"/>
      <c r="AW235" s="233"/>
      <c r="AX235" s="233"/>
      <c r="AY235" s="233"/>
      <c r="AZ235" s="233"/>
      <c r="BA235" s="233"/>
      <c r="BB235" s="233"/>
      <c r="BC235" s="233"/>
    </row>
    <row r="236" spans="1:55" ht="19.5" customHeight="1">
      <c r="A236" s="233"/>
      <c r="B236" s="233"/>
      <c r="C236" s="233"/>
      <c r="D236" s="233"/>
      <c r="E236" s="233"/>
      <c r="F236" s="233"/>
      <c r="G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233"/>
      <c r="AK236" s="233"/>
      <c r="AL236" s="233"/>
      <c r="AM236" s="233"/>
      <c r="AN236" s="233"/>
      <c r="AO236" s="233"/>
      <c r="AP236" s="233"/>
      <c r="AQ236" s="233"/>
      <c r="AR236" s="233"/>
      <c r="AS236" s="233"/>
      <c r="AT236" s="233"/>
      <c r="AU236" s="233"/>
      <c r="AV236" s="233"/>
      <c r="AW236" s="233"/>
      <c r="AX236" s="233"/>
      <c r="AY236" s="233"/>
      <c r="AZ236" s="233"/>
      <c r="BA236" s="233"/>
      <c r="BB236" s="233"/>
      <c r="BC236" s="233"/>
    </row>
    <row r="237" spans="1:55" ht="19.5" customHeight="1">
      <c r="A237" s="233"/>
      <c r="B237" s="233"/>
      <c r="C237" s="233"/>
      <c r="D237" s="233"/>
      <c r="E237" s="233"/>
      <c r="F237" s="233"/>
      <c r="G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  <c r="V237" s="233"/>
      <c r="W237" s="233"/>
      <c r="X237" s="233"/>
      <c r="Y237" s="233"/>
      <c r="Z237" s="233"/>
      <c r="AA237" s="233"/>
      <c r="AB237" s="233"/>
      <c r="AC237" s="233"/>
      <c r="AD237" s="233"/>
      <c r="AE237" s="233"/>
      <c r="AF237" s="233"/>
      <c r="AG237" s="233"/>
      <c r="AH237" s="233"/>
      <c r="AI237" s="233"/>
      <c r="AJ237" s="233"/>
      <c r="AK237" s="233"/>
      <c r="AL237" s="233"/>
      <c r="AM237" s="233"/>
      <c r="AN237" s="233"/>
      <c r="AO237" s="233"/>
      <c r="AP237" s="233"/>
      <c r="AQ237" s="233"/>
      <c r="AR237" s="233"/>
      <c r="AS237" s="233"/>
      <c r="AT237" s="233"/>
      <c r="AU237" s="233"/>
      <c r="AV237" s="233"/>
      <c r="AW237" s="233"/>
      <c r="AX237" s="233"/>
      <c r="AY237" s="233"/>
      <c r="AZ237" s="233"/>
      <c r="BA237" s="233"/>
      <c r="BB237" s="233"/>
      <c r="BC237" s="233"/>
    </row>
    <row r="238" spans="1:55" ht="19.5" customHeight="1">
      <c r="A238" s="233"/>
      <c r="B238" s="233"/>
      <c r="C238" s="233"/>
      <c r="D238" s="233"/>
      <c r="E238" s="233"/>
      <c r="F238" s="233"/>
      <c r="G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33"/>
      <c r="AG238" s="233"/>
      <c r="AH238" s="233"/>
      <c r="AI238" s="233"/>
      <c r="AJ238" s="233"/>
      <c r="AK238" s="233"/>
      <c r="AL238" s="233"/>
      <c r="AM238" s="233"/>
      <c r="AN238" s="233"/>
      <c r="AO238" s="233"/>
      <c r="AP238" s="233"/>
      <c r="AQ238" s="233"/>
      <c r="AR238" s="233"/>
      <c r="AS238" s="233"/>
      <c r="AT238" s="233"/>
      <c r="AU238" s="233"/>
      <c r="AV238" s="233"/>
      <c r="AW238" s="233"/>
      <c r="AX238" s="233"/>
      <c r="AY238" s="233"/>
      <c r="AZ238" s="233"/>
      <c r="BA238" s="233"/>
      <c r="BB238" s="233"/>
      <c r="BC238" s="233"/>
    </row>
    <row r="239" spans="1:55" ht="19.5" customHeight="1">
      <c r="A239" s="233"/>
      <c r="B239" s="233"/>
      <c r="C239" s="233"/>
      <c r="D239" s="233"/>
      <c r="E239" s="233"/>
      <c r="F239" s="233"/>
      <c r="G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  <c r="V239" s="233"/>
      <c r="W239" s="233"/>
      <c r="X239" s="233"/>
      <c r="Y239" s="233"/>
      <c r="Z239" s="233"/>
      <c r="AA239" s="233"/>
      <c r="AB239" s="233"/>
      <c r="AC239" s="233"/>
      <c r="AD239" s="233"/>
      <c r="AE239" s="233"/>
      <c r="AF239" s="233"/>
      <c r="AG239" s="233"/>
      <c r="AH239" s="233"/>
      <c r="AI239" s="233"/>
      <c r="AJ239" s="233"/>
      <c r="AK239" s="233"/>
      <c r="AL239" s="233"/>
      <c r="AM239" s="233"/>
      <c r="AN239" s="233"/>
      <c r="AO239" s="233"/>
      <c r="AP239" s="233"/>
      <c r="AQ239" s="233"/>
      <c r="AR239" s="233"/>
      <c r="AS239" s="233"/>
      <c r="AT239" s="233"/>
      <c r="AU239" s="233"/>
      <c r="AV239" s="233"/>
      <c r="AW239" s="233"/>
      <c r="AX239" s="233"/>
      <c r="AY239" s="233"/>
      <c r="AZ239" s="233"/>
      <c r="BA239" s="233"/>
      <c r="BB239" s="233"/>
      <c r="BC239" s="233"/>
    </row>
    <row r="240" spans="1:55" ht="19.5" customHeight="1">
      <c r="A240" s="233"/>
      <c r="B240" s="233"/>
      <c r="C240" s="233"/>
      <c r="D240" s="233"/>
      <c r="E240" s="233"/>
      <c r="F240" s="233"/>
      <c r="G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33"/>
      <c r="AG240" s="233"/>
      <c r="AH240" s="233"/>
      <c r="AI240" s="233"/>
      <c r="AJ240" s="233"/>
      <c r="AK240" s="233"/>
      <c r="AL240" s="233"/>
      <c r="AM240" s="233"/>
      <c r="AN240" s="233"/>
      <c r="AO240" s="233"/>
      <c r="AP240" s="233"/>
      <c r="AQ240" s="233"/>
      <c r="AR240" s="233"/>
      <c r="AS240" s="233"/>
      <c r="AT240" s="233"/>
      <c r="AU240" s="233"/>
      <c r="AV240" s="233"/>
      <c r="AW240" s="233"/>
      <c r="AX240" s="233"/>
      <c r="AY240" s="233"/>
      <c r="AZ240" s="233"/>
      <c r="BA240" s="233"/>
      <c r="BB240" s="233"/>
      <c r="BC240" s="233"/>
    </row>
    <row r="241" spans="1:55" ht="19.5" customHeight="1">
      <c r="A241" s="233"/>
      <c r="B241" s="233"/>
      <c r="C241" s="233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33"/>
      <c r="Z241" s="233"/>
      <c r="AA241" s="233"/>
      <c r="AB241" s="233"/>
      <c r="AC241" s="233"/>
      <c r="AD241" s="233"/>
      <c r="AE241" s="233"/>
      <c r="AF241" s="233"/>
      <c r="AG241" s="233"/>
      <c r="AH241" s="233"/>
      <c r="AI241" s="233"/>
      <c r="AJ241" s="233"/>
      <c r="AK241" s="233"/>
      <c r="AL241" s="233"/>
      <c r="AM241" s="233"/>
      <c r="AN241" s="233"/>
      <c r="AO241" s="233"/>
      <c r="AP241" s="233"/>
      <c r="AQ241" s="233"/>
      <c r="AR241" s="233"/>
      <c r="AS241" s="233"/>
      <c r="AT241" s="233"/>
      <c r="AU241" s="233"/>
      <c r="AV241" s="233"/>
      <c r="AW241" s="233"/>
      <c r="AX241" s="233"/>
      <c r="AY241" s="233"/>
      <c r="AZ241" s="233"/>
      <c r="BA241" s="233"/>
      <c r="BB241" s="233"/>
      <c r="BC241" s="233"/>
    </row>
    <row r="242" spans="1:55" ht="19.5" customHeight="1">
      <c r="A242" s="233"/>
      <c r="B242" s="233"/>
      <c r="C242" s="233"/>
      <c r="D242" s="233"/>
      <c r="E242" s="233"/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3"/>
      <c r="AK242" s="233"/>
      <c r="AL242" s="233"/>
      <c r="AM242" s="233"/>
      <c r="AN242" s="233"/>
      <c r="AO242" s="233"/>
      <c r="AP242" s="233"/>
      <c r="AQ242" s="233"/>
      <c r="AR242" s="233"/>
      <c r="AS242" s="233"/>
      <c r="AT242" s="233"/>
      <c r="AU242" s="233"/>
      <c r="AV242" s="233"/>
      <c r="AW242" s="233"/>
      <c r="AX242" s="233"/>
      <c r="AY242" s="233"/>
      <c r="AZ242" s="233"/>
      <c r="BA242" s="233"/>
      <c r="BB242" s="233"/>
      <c r="BC242" s="233"/>
    </row>
    <row r="243" spans="1:55" ht="19.5" customHeight="1">
      <c r="A243" s="233"/>
      <c r="B243" s="233"/>
      <c r="C243" s="233"/>
      <c r="D243" s="233"/>
      <c r="E243" s="233"/>
      <c r="F243" s="233"/>
      <c r="G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233"/>
      <c r="Z243" s="233"/>
      <c r="AA243" s="233"/>
      <c r="AB243" s="233"/>
      <c r="AC243" s="233"/>
      <c r="AD243" s="233"/>
      <c r="AE243" s="233"/>
      <c r="AF243" s="233"/>
      <c r="AG243" s="233"/>
      <c r="AH243" s="233"/>
      <c r="AI243" s="233"/>
      <c r="AJ243" s="233"/>
      <c r="AK243" s="233"/>
      <c r="AL243" s="233"/>
      <c r="AM243" s="233"/>
      <c r="AN243" s="233"/>
      <c r="AO243" s="233"/>
      <c r="AP243" s="233"/>
      <c r="AQ243" s="233"/>
      <c r="AR243" s="233"/>
      <c r="AS243" s="233"/>
      <c r="AT243" s="233"/>
      <c r="AU243" s="233"/>
      <c r="AV243" s="233"/>
      <c r="AW243" s="233"/>
      <c r="AX243" s="233"/>
      <c r="AY243" s="233"/>
      <c r="AZ243" s="233"/>
      <c r="BA243" s="233"/>
      <c r="BB243" s="233"/>
      <c r="BC243" s="233"/>
    </row>
    <row r="244" spans="1:55" ht="19.5" customHeight="1">
      <c r="A244" s="233"/>
      <c r="B244" s="233"/>
      <c r="C244" s="233"/>
      <c r="D244" s="233"/>
      <c r="E244" s="233"/>
      <c r="F244" s="233"/>
      <c r="G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233"/>
      <c r="Z244" s="233"/>
      <c r="AA244" s="233"/>
      <c r="AB244" s="233"/>
      <c r="AC244" s="233"/>
      <c r="AD244" s="233"/>
      <c r="AE244" s="233"/>
      <c r="AF244" s="233"/>
      <c r="AG244" s="233"/>
      <c r="AH244" s="233"/>
      <c r="AI244" s="233"/>
      <c r="AJ244" s="233"/>
      <c r="AK244" s="233"/>
      <c r="AL244" s="233"/>
      <c r="AM244" s="233"/>
      <c r="AN244" s="233"/>
      <c r="AO244" s="233"/>
      <c r="AP244" s="233"/>
      <c r="AQ244" s="233"/>
      <c r="AR244" s="233"/>
      <c r="AS244" s="233"/>
      <c r="AT244" s="233"/>
      <c r="AU244" s="233"/>
      <c r="AV244" s="233"/>
      <c r="AW244" s="233"/>
      <c r="AX244" s="233"/>
      <c r="AY244" s="233"/>
      <c r="AZ244" s="233"/>
      <c r="BA244" s="233"/>
      <c r="BB244" s="233"/>
      <c r="BC244" s="233"/>
    </row>
    <row r="245" spans="1:55" ht="19.5" customHeight="1">
      <c r="A245" s="233"/>
      <c r="B245" s="233"/>
      <c r="C245" s="233"/>
      <c r="D245" s="233"/>
      <c r="E245" s="233"/>
      <c r="F245" s="233"/>
      <c r="G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  <c r="V245" s="233"/>
      <c r="W245" s="233"/>
      <c r="X245" s="233"/>
      <c r="Y245" s="233"/>
      <c r="Z245" s="233"/>
      <c r="AA245" s="233"/>
      <c r="AB245" s="233"/>
      <c r="AC245" s="233"/>
      <c r="AD245" s="233"/>
      <c r="AE245" s="233"/>
      <c r="AF245" s="233"/>
      <c r="AG245" s="233"/>
      <c r="AH245" s="233"/>
      <c r="AI245" s="233"/>
      <c r="AJ245" s="233"/>
      <c r="AK245" s="233"/>
      <c r="AL245" s="233"/>
      <c r="AM245" s="233"/>
      <c r="AN245" s="233"/>
      <c r="AO245" s="233"/>
      <c r="AP245" s="233"/>
      <c r="AQ245" s="233"/>
      <c r="AR245" s="233"/>
      <c r="AS245" s="233"/>
      <c r="AT245" s="233"/>
      <c r="AU245" s="233"/>
      <c r="AV245" s="233"/>
      <c r="AW245" s="233"/>
      <c r="AX245" s="233"/>
      <c r="AY245" s="233"/>
      <c r="AZ245" s="233"/>
      <c r="BA245" s="233"/>
      <c r="BB245" s="233"/>
      <c r="BC245" s="233"/>
    </row>
    <row r="246" spans="1:55" ht="19.5" customHeight="1">
      <c r="A246" s="233"/>
      <c r="B246" s="233"/>
      <c r="C246" s="233"/>
      <c r="D246" s="233"/>
      <c r="E246" s="233"/>
      <c r="F246" s="233"/>
      <c r="G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  <c r="V246" s="233"/>
      <c r="W246" s="233"/>
      <c r="X246" s="233"/>
      <c r="Y246" s="233"/>
      <c r="Z246" s="233"/>
      <c r="AA246" s="233"/>
      <c r="AB246" s="233"/>
      <c r="AC246" s="233"/>
      <c r="AD246" s="233"/>
      <c r="AE246" s="233"/>
      <c r="AF246" s="233"/>
      <c r="AG246" s="233"/>
      <c r="AH246" s="233"/>
      <c r="AI246" s="233"/>
      <c r="AJ246" s="233"/>
      <c r="AK246" s="233"/>
      <c r="AL246" s="233"/>
      <c r="AM246" s="233"/>
      <c r="AN246" s="233"/>
      <c r="AO246" s="233"/>
      <c r="AP246" s="233"/>
      <c r="AQ246" s="233"/>
      <c r="AR246" s="233"/>
      <c r="AS246" s="233"/>
      <c r="AT246" s="233"/>
      <c r="AU246" s="233"/>
      <c r="AV246" s="233"/>
      <c r="AW246" s="233"/>
      <c r="AX246" s="233"/>
      <c r="AY246" s="233"/>
      <c r="AZ246" s="233"/>
      <c r="BA246" s="233"/>
      <c r="BB246" s="233"/>
      <c r="BC246" s="233"/>
    </row>
    <row r="247" spans="1:55" ht="19.5" customHeight="1">
      <c r="A247" s="233"/>
      <c r="B247" s="233"/>
      <c r="C247" s="233"/>
      <c r="D247" s="233"/>
      <c r="E247" s="233"/>
      <c r="F247" s="233"/>
      <c r="G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  <c r="V247" s="233"/>
      <c r="W247" s="233"/>
      <c r="X247" s="233"/>
      <c r="Y247" s="233"/>
      <c r="Z247" s="233"/>
      <c r="AA247" s="233"/>
      <c r="AB247" s="233"/>
      <c r="AC247" s="233"/>
      <c r="AD247" s="233"/>
      <c r="AE247" s="233"/>
      <c r="AF247" s="233"/>
      <c r="AG247" s="233"/>
      <c r="AH247" s="233"/>
      <c r="AI247" s="233"/>
      <c r="AJ247" s="233"/>
      <c r="AK247" s="233"/>
      <c r="AL247" s="233"/>
      <c r="AM247" s="233"/>
      <c r="AN247" s="233"/>
      <c r="AO247" s="233"/>
      <c r="AP247" s="233"/>
      <c r="AQ247" s="233"/>
      <c r="AR247" s="233"/>
      <c r="AS247" s="233"/>
      <c r="AT247" s="233"/>
      <c r="AU247" s="233"/>
      <c r="AV247" s="233"/>
      <c r="AW247" s="233"/>
      <c r="AX247" s="233"/>
      <c r="AY247" s="233"/>
      <c r="AZ247" s="233"/>
      <c r="BA247" s="233"/>
      <c r="BB247" s="233"/>
      <c r="BC247" s="233"/>
    </row>
    <row r="248" spans="1:55" ht="19.5" customHeight="1">
      <c r="A248" s="233"/>
      <c r="B248" s="233"/>
      <c r="C248" s="233"/>
      <c r="D248" s="233"/>
      <c r="E248" s="233"/>
      <c r="F248" s="233"/>
      <c r="G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33"/>
      <c r="AM248" s="233"/>
      <c r="AN248" s="233"/>
      <c r="AO248" s="233"/>
      <c r="AP248" s="233"/>
      <c r="AQ248" s="233"/>
      <c r="AR248" s="233"/>
      <c r="AS248" s="233"/>
      <c r="AT248" s="233"/>
      <c r="AU248" s="233"/>
      <c r="AV248" s="233"/>
      <c r="AW248" s="233"/>
      <c r="AX248" s="233"/>
      <c r="AY248" s="233"/>
      <c r="AZ248" s="233"/>
      <c r="BA248" s="233"/>
      <c r="BB248" s="233"/>
      <c r="BC248" s="233"/>
    </row>
    <row r="249" spans="1:55" ht="19.5" customHeight="1">
      <c r="A249" s="233"/>
      <c r="B249" s="233"/>
      <c r="C249" s="233"/>
      <c r="D249" s="233"/>
      <c r="E249" s="233"/>
      <c r="F249" s="233"/>
      <c r="G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33"/>
      <c r="X249" s="233"/>
      <c r="Y249" s="233"/>
      <c r="Z249" s="233"/>
      <c r="AA249" s="233"/>
      <c r="AB249" s="233"/>
      <c r="AC249" s="233"/>
      <c r="AD249" s="233"/>
      <c r="AE249" s="233"/>
      <c r="AF249" s="233"/>
      <c r="AG249" s="233"/>
      <c r="AH249" s="233"/>
      <c r="AI249" s="233"/>
      <c r="AJ249" s="233"/>
      <c r="AK249" s="233"/>
      <c r="AL249" s="233"/>
      <c r="AM249" s="233"/>
      <c r="AN249" s="233"/>
      <c r="AO249" s="233"/>
      <c r="AP249" s="233"/>
      <c r="AQ249" s="233"/>
      <c r="AR249" s="233"/>
      <c r="AS249" s="233"/>
      <c r="AT249" s="233"/>
      <c r="AU249" s="233"/>
      <c r="AV249" s="233"/>
      <c r="AW249" s="233"/>
      <c r="AX249" s="233"/>
      <c r="AY249" s="233"/>
      <c r="AZ249" s="233"/>
      <c r="BA249" s="233"/>
      <c r="BB249" s="233"/>
      <c r="BC249" s="233"/>
    </row>
    <row r="250" spans="1:55" ht="19.5" customHeight="1">
      <c r="A250" s="233"/>
      <c r="B250" s="233"/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3"/>
      <c r="Z250" s="233"/>
      <c r="AA250" s="233"/>
      <c r="AB250" s="233"/>
      <c r="AC250" s="233"/>
      <c r="AD250" s="233"/>
      <c r="AE250" s="233"/>
      <c r="AF250" s="233"/>
      <c r="AG250" s="233"/>
      <c r="AH250" s="233"/>
      <c r="AI250" s="233"/>
      <c r="AJ250" s="233"/>
      <c r="AK250" s="233"/>
      <c r="AL250" s="233"/>
      <c r="AM250" s="233"/>
      <c r="AN250" s="233"/>
      <c r="AO250" s="233"/>
      <c r="AP250" s="233"/>
      <c r="AQ250" s="233"/>
      <c r="AR250" s="233"/>
      <c r="AS250" s="233"/>
      <c r="AT250" s="233"/>
      <c r="AU250" s="233"/>
      <c r="AV250" s="233"/>
      <c r="AW250" s="233"/>
      <c r="AX250" s="233"/>
      <c r="AY250" s="233"/>
      <c r="AZ250" s="233"/>
      <c r="BA250" s="233"/>
      <c r="BB250" s="233"/>
      <c r="BC250" s="233"/>
    </row>
    <row r="251" spans="1:55" ht="19.5" customHeight="1">
      <c r="A251" s="233"/>
      <c r="B251" s="233"/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233"/>
      <c r="AO251" s="233"/>
      <c r="AP251" s="233"/>
      <c r="AQ251" s="233"/>
      <c r="AR251" s="233"/>
      <c r="AS251" s="233"/>
      <c r="AT251" s="233"/>
      <c r="AU251" s="233"/>
      <c r="AV251" s="233"/>
      <c r="AW251" s="233"/>
      <c r="AX251" s="233"/>
      <c r="AY251" s="233"/>
      <c r="AZ251" s="233"/>
      <c r="BA251" s="233"/>
      <c r="BB251" s="233"/>
      <c r="BC251" s="233"/>
    </row>
    <row r="252" spans="1:55" ht="19.5" customHeight="1">
      <c r="A252" s="233"/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  <c r="V252" s="233"/>
      <c r="W252" s="233"/>
      <c r="X252" s="233"/>
      <c r="Y252" s="233"/>
      <c r="Z252" s="233"/>
      <c r="AA252" s="233"/>
      <c r="AB252" s="233"/>
      <c r="AC252" s="233"/>
      <c r="AD252" s="233"/>
      <c r="AE252" s="233"/>
      <c r="AF252" s="233"/>
      <c r="AG252" s="233"/>
      <c r="AH252" s="233"/>
      <c r="AI252" s="233"/>
      <c r="AJ252" s="233"/>
      <c r="AK252" s="233"/>
      <c r="AL252" s="233"/>
      <c r="AM252" s="233"/>
      <c r="AN252" s="233"/>
      <c r="AO252" s="233"/>
      <c r="AP252" s="233"/>
      <c r="AQ252" s="233"/>
      <c r="AR252" s="233"/>
      <c r="AS252" s="233"/>
      <c r="AT252" s="233"/>
      <c r="AU252" s="233"/>
      <c r="AV252" s="233"/>
      <c r="AW252" s="233"/>
      <c r="AX252" s="233"/>
      <c r="AY252" s="233"/>
      <c r="AZ252" s="233"/>
      <c r="BA252" s="233"/>
      <c r="BB252" s="233"/>
      <c r="BC252" s="233"/>
    </row>
    <row r="253" spans="1:55" ht="19.5" customHeight="1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3"/>
      <c r="AI253" s="233"/>
      <c r="AJ253" s="233"/>
      <c r="AK253" s="233"/>
      <c r="AL253" s="233"/>
      <c r="AM253" s="233"/>
      <c r="AN253" s="233"/>
      <c r="AO253" s="233"/>
      <c r="AP253" s="233"/>
      <c r="AQ253" s="233"/>
      <c r="AR253" s="233"/>
      <c r="AS253" s="233"/>
      <c r="AT253" s="233"/>
      <c r="AU253" s="233"/>
      <c r="AV253" s="233"/>
      <c r="AW253" s="233"/>
      <c r="AX253" s="233"/>
      <c r="AY253" s="233"/>
      <c r="AZ253" s="233"/>
      <c r="BA253" s="233"/>
      <c r="BB253" s="233"/>
      <c r="BC253" s="233"/>
    </row>
    <row r="254" spans="1:55" ht="19.5" customHeight="1">
      <c r="A254" s="233"/>
      <c r="B254" s="233"/>
      <c r="C254" s="233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  <c r="V254" s="233"/>
      <c r="W254" s="233"/>
      <c r="X254" s="233"/>
      <c r="Y254" s="233"/>
      <c r="Z254" s="233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233"/>
      <c r="AK254" s="233"/>
      <c r="AL254" s="233"/>
      <c r="AM254" s="233"/>
      <c r="AN254" s="233"/>
      <c r="AO254" s="233"/>
      <c r="AP254" s="233"/>
      <c r="AQ254" s="233"/>
      <c r="AR254" s="233"/>
      <c r="AS254" s="233"/>
      <c r="AT254" s="233"/>
      <c r="AU254" s="233"/>
      <c r="AV254" s="233"/>
      <c r="AW254" s="233"/>
      <c r="AX254" s="233"/>
      <c r="AY254" s="233"/>
      <c r="AZ254" s="233"/>
      <c r="BA254" s="233"/>
      <c r="BB254" s="233"/>
      <c r="BC254" s="233"/>
    </row>
    <row r="255" spans="1:55" ht="19.5" customHeight="1">
      <c r="A255" s="233"/>
      <c r="B255" s="233"/>
      <c r="C255" s="233"/>
      <c r="D255" s="233"/>
      <c r="E255" s="233"/>
      <c r="F255" s="233"/>
      <c r="G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  <c r="V255" s="233"/>
      <c r="W255" s="233"/>
      <c r="X255" s="233"/>
      <c r="Y255" s="233"/>
      <c r="Z255" s="233"/>
      <c r="AA255" s="233"/>
      <c r="AB255" s="233"/>
      <c r="AC255" s="233"/>
      <c r="AD255" s="233"/>
      <c r="AE255" s="233"/>
      <c r="AF255" s="233"/>
      <c r="AG255" s="233"/>
      <c r="AH255" s="233"/>
      <c r="AI255" s="233"/>
      <c r="AJ255" s="233"/>
      <c r="AK255" s="233"/>
      <c r="AL255" s="233"/>
      <c r="AM255" s="233"/>
      <c r="AN255" s="233"/>
      <c r="AO255" s="233"/>
      <c r="AP255" s="233"/>
      <c r="AQ255" s="233"/>
      <c r="AR255" s="233"/>
      <c r="AS255" s="233"/>
      <c r="AT255" s="233"/>
      <c r="AU255" s="233"/>
      <c r="AV255" s="233"/>
      <c r="AW255" s="233"/>
      <c r="AX255" s="233"/>
      <c r="AY255" s="233"/>
      <c r="AZ255" s="233"/>
      <c r="BA255" s="233"/>
      <c r="BB255" s="233"/>
      <c r="BC255" s="233"/>
    </row>
    <row r="256" spans="1:55" ht="19.5" customHeight="1">
      <c r="A256" s="233"/>
      <c r="B256" s="233"/>
      <c r="C256" s="233"/>
      <c r="D256" s="233"/>
      <c r="E256" s="233"/>
      <c r="F256" s="233"/>
      <c r="G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3"/>
      <c r="AD256" s="233"/>
      <c r="AE256" s="233"/>
      <c r="AF256" s="233"/>
      <c r="AG256" s="233"/>
      <c r="AH256" s="233"/>
      <c r="AI256" s="233"/>
      <c r="AJ256" s="233"/>
      <c r="AK256" s="233"/>
      <c r="AL256" s="233"/>
      <c r="AM256" s="233"/>
      <c r="AN256" s="233"/>
      <c r="AO256" s="233"/>
      <c r="AP256" s="233"/>
      <c r="AQ256" s="233"/>
      <c r="AR256" s="233"/>
      <c r="AS256" s="233"/>
      <c r="AT256" s="233"/>
      <c r="AU256" s="233"/>
      <c r="AV256" s="233"/>
      <c r="AW256" s="233"/>
      <c r="AX256" s="233"/>
      <c r="AY256" s="233"/>
      <c r="AZ256" s="233"/>
      <c r="BA256" s="233"/>
      <c r="BB256" s="233"/>
      <c r="BC256" s="233"/>
    </row>
    <row r="257" spans="1:55" ht="19.5" customHeight="1">
      <c r="A257" s="233"/>
      <c r="B257" s="233"/>
      <c r="C257" s="233"/>
      <c r="D257" s="233"/>
      <c r="E257" s="233"/>
      <c r="F257" s="233"/>
      <c r="G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  <c r="V257" s="233"/>
      <c r="W257" s="233"/>
      <c r="X257" s="233"/>
      <c r="Y257" s="233"/>
      <c r="Z257" s="233"/>
      <c r="AA257" s="233"/>
      <c r="AB257" s="233"/>
      <c r="AC257" s="233"/>
      <c r="AD257" s="233"/>
      <c r="AE257" s="233"/>
      <c r="AF257" s="233"/>
      <c r="AG257" s="233"/>
      <c r="AH257" s="233"/>
      <c r="AI257" s="233"/>
      <c r="AJ257" s="233"/>
      <c r="AK257" s="233"/>
      <c r="AL257" s="233"/>
      <c r="AM257" s="233"/>
      <c r="AN257" s="233"/>
      <c r="AO257" s="233"/>
      <c r="AP257" s="233"/>
      <c r="AQ257" s="233"/>
      <c r="AR257" s="233"/>
      <c r="AS257" s="233"/>
      <c r="AT257" s="233"/>
      <c r="AU257" s="233"/>
      <c r="AV257" s="233"/>
      <c r="AW257" s="233"/>
      <c r="AX257" s="233"/>
      <c r="AY257" s="233"/>
      <c r="AZ257" s="233"/>
      <c r="BA257" s="233"/>
      <c r="BB257" s="233"/>
      <c r="BC257" s="233"/>
    </row>
    <row r="258" spans="1:55" ht="19.5" customHeight="1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  <c r="V258" s="233"/>
      <c r="W258" s="233"/>
      <c r="X258" s="233"/>
      <c r="Y258" s="233"/>
      <c r="Z258" s="233"/>
      <c r="AA258" s="233"/>
      <c r="AB258" s="233"/>
      <c r="AC258" s="233"/>
      <c r="AD258" s="233"/>
      <c r="AE258" s="233"/>
      <c r="AF258" s="233"/>
      <c r="AG258" s="233"/>
      <c r="AH258" s="233"/>
      <c r="AI258" s="233"/>
      <c r="AJ258" s="233"/>
      <c r="AK258" s="233"/>
      <c r="AL258" s="233"/>
      <c r="AM258" s="233"/>
      <c r="AN258" s="233"/>
      <c r="AO258" s="233"/>
      <c r="AP258" s="233"/>
      <c r="AQ258" s="233"/>
      <c r="AR258" s="233"/>
      <c r="AS258" s="233"/>
      <c r="AT258" s="233"/>
      <c r="AU258" s="233"/>
      <c r="AV258" s="233"/>
      <c r="AW258" s="233"/>
      <c r="AX258" s="233"/>
      <c r="AY258" s="233"/>
      <c r="AZ258" s="233"/>
      <c r="BA258" s="233"/>
      <c r="BB258" s="233"/>
      <c r="BC258" s="233"/>
    </row>
    <row r="259" spans="1:55" ht="19.5" customHeight="1">
      <c r="A259" s="233"/>
      <c r="B259" s="233"/>
      <c r="C259" s="233"/>
      <c r="D259" s="233"/>
      <c r="E259" s="233"/>
      <c r="F259" s="233"/>
      <c r="G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  <c r="V259" s="233"/>
      <c r="W259" s="233"/>
      <c r="X259" s="233"/>
      <c r="Y259" s="233"/>
      <c r="Z259" s="233"/>
      <c r="AA259" s="233"/>
      <c r="AB259" s="233"/>
      <c r="AC259" s="233"/>
      <c r="AD259" s="233"/>
      <c r="AE259" s="233"/>
      <c r="AF259" s="233"/>
      <c r="AG259" s="233"/>
      <c r="AH259" s="233"/>
      <c r="AI259" s="233"/>
      <c r="AJ259" s="233"/>
      <c r="AK259" s="233"/>
      <c r="AL259" s="233"/>
      <c r="AM259" s="233"/>
      <c r="AN259" s="233"/>
      <c r="AO259" s="233"/>
      <c r="AP259" s="233"/>
      <c r="AQ259" s="233"/>
      <c r="AR259" s="233"/>
      <c r="AS259" s="233"/>
      <c r="AT259" s="233"/>
      <c r="AU259" s="233"/>
      <c r="AV259" s="233"/>
      <c r="AW259" s="233"/>
      <c r="AX259" s="233"/>
      <c r="AY259" s="233"/>
      <c r="AZ259" s="233"/>
      <c r="BA259" s="233"/>
      <c r="BB259" s="233"/>
      <c r="BC259" s="233"/>
    </row>
    <row r="260" spans="1:55" ht="19.5" customHeight="1">
      <c r="A260" s="233"/>
      <c r="B260" s="233"/>
      <c r="C260" s="233"/>
      <c r="D260" s="233"/>
      <c r="E260" s="233"/>
      <c r="F260" s="233"/>
      <c r="G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  <c r="X260" s="233"/>
      <c r="Y260" s="233"/>
      <c r="Z260" s="233"/>
      <c r="AA260" s="233"/>
      <c r="AB260" s="233"/>
      <c r="AC260" s="233"/>
      <c r="AD260" s="233"/>
      <c r="AE260" s="233"/>
      <c r="AF260" s="233"/>
      <c r="AG260" s="233"/>
      <c r="AH260" s="233"/>
      <c r="AI260" s="233"/>
      <c r="AJ260" s="233"/>
      <c r="AK260" s="233"/>
      <c r="AL260" s="233"/>
      <c r="AM260" s="233"/>
      <c r="AN260" s="233"/>
      <c r="AO260" s="233"/>
      <c r="AP260" s="233"/>
      <c r="AQ260" s="233"/>
      <c r="AR260" s="233"/>
      <c r="AS260" s="233"/>
      <c r="AT260" s="233"/>
      <c r="AU260" s="233"/>
      <c r="AV260" s="233"/>
      <c r="AW260" s="233"/>
      <c r="AX260" s="233"/>
      <c r="AY260" s="233"/>
      <c r="AZ260" s="233"/>
      <c r="BA260" s="233"/>
      <c r="BB260" s="233"/>
      <c r="BC260" s="233"/>
    </row>
    <row r="261" spans="1:55" ht="19.5" customHeight="1">
      <c r="A261" s="233"/>
      <c r="B261" s="233"/>
      <c r="C261" s="233"/>
      <c r="D261" s="233"/>
      <c r="E261" s="233"/>
      <c r="F261" s="233"/>
      <c r="G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  <c r="V261" s="233"/>
      <c r="W261" s="233"/>
      <c r="X261" s="233"/>
      <c r="Y261" s="233"/>
      <c r="Z261" s="233"/>
      <c r="AA261" s="233"/>
      <c r="AB261" s="233"/>
      <c r="AC261" s="233"/>
      <c r="AD261" s="233"/>
      <c r="AE261" s="233"/>
      <c r="AF261" s="233"/>
      <c r="AG261" s="233"/>
      <c r="AH261" s="233"/>
      <c r="AI261" s="233"/>
      <c r="AJ261" s="233"/>
      <c r="AK261" s="233"/>
      <c r="AL261" s="233"/>
      <c r="AM261" s="233"/>
      <c r="AN261" s="233"/>
      <c r="AO261" s="233"/>
      <c r="AP261" s="233"/>
      <c r="AQ261" s="233"/>
      <c r="AR261" s="233"/>
      <c r="AS261" s="233"/>
      <c r="AT261" s="233"/>
      <c r="AU261" s="233"/>
      <c r="AV261" s="233"/>
      <c r="AW261" s="233"/>
      <c r="AX261" s="233"/>
      <c r="AY261" s="233"/>
      <c r="AZ261" s="233"/>
      <c r="BA261" s="233"/>
      <c r="BB261" s="233"/>
      <c r="BC261" s="233"/>
    </row>
    <row r="262" spans="1:55" ht="19.5" customHeight="1">
      <c r="A262" s="233"/>
      <c r="B262" s="233"/>
      <c r="C262" s="233"/>
      <c r="D262" s="233"/>
      <c r="E262" s="233"/>
      <c r="F262" s="233"/>
      <c r="G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  <c r="V262" s="233"/>
      <c r="W262" s="233"/>
      <c r="X262" s="233"/>
      <c r="Y262" s="233"/>
      <c r="Z262" s="233"/>
      <c r="AA262" s="233"/>
      <c r="AB262" s="233"/>
      <c r="AC262" s="233"/>
      <c r="AD262" s="233"/>
      <c r="AE262" s="233"/>
      <c r="AF262" s="233"/>
      <c r="AG262" s="233"/>
      <c r="AH262" s="233"/>
      <c r="AI262" s="233"/>
      <c r="AJ262" s="233"/>
      <c r="AK262" s="233"/>
      <c r="AL262" s="233"/>
      <c r="AM262" s="233"/>
      <c r="AN262" s="233"/>
      <c r="AO262" s="233"/>
      <c r="AP262" s="233"/>
      <c r="AQ262" s="233"/>
      <c r="AR262" s="233"/>
      <c r="AS262" s="233"/>
      <c r="AT262" s="233"/>
      <c r="AU262" s="233"/>
      <c r="AV262" s="233"/>
      <c r="AW262" s="233"/>
      <c r="AX262" s="233"/>
      <c r="AY262" s="233"/>
      <c r="AZ262" s="233"/>
      <c r="BA262" s="233"/>
      <c r="BB262" s="233"/>
      <c r="BC262" s="233"/>
    </row>
    <row r="263" spans="1:55" ht="19.5" customHeight="1">
      <c r="A263" s="233"/>
      <c r="B263" s="233"/>
      <c r="C263" s="233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  <c r="V263" s="233"/>
      <c r="W263" s="233"/>
      <c r="X263" s="233"/>
      <c r="Y263" s="233"/>
      <c r="Z263" s="233"/>
      <c r="AA263" s="233"/>
      <c r="AB263" s="233"/>
      <c r="AC263" s="233"/>
      <c r="AD263" s="233"/>
      <c r="AE263" s="233"/>
      <c r="AF263" s="233"/>
      <c r="AG263" s="233"/>
      <c r="AH263" s="233"/>
      <c r="AI263" s="233"/>
      <c r="AJ263" s="233"/>
      <c r="AK263" s="233"/>
      <c r="AL263" s="233"/>
      <c r="AM263" s="233"/>
      <c r="AN263" s="233"/>
      <c r="AO263" s="233"/>
      <c r="AP263" s="233"/>
      <c r="AQ263" s="233"/>
      <c r="AR263" s="233"/>
      <c r="AS263" s="233"/>
      <c r="AT263" s="233"/>
      <c r="AU263" s="233"/>
      <c r="AV263" s="233"/>
      <c r="AW263" s="233"/>
      <c r="AX263" s="233"/>
      <c r="AY263" s="233"/>
      <c r="AZ263" s="233"/>
      <c r="BA263" s="233"/>
      <c r="BB263" s="233"/>
      <c r="BC263" s="233"/>
    </row>
    <row r="264" spans="1:55" ht="19.5" customHeight="1">
      <c r="A264" s="233"/>
      <c r="B264" s="233"/>
      <c r="C264" s="233"/>
      <c r="D264" s="233"/>
      <c r="E264" s="233"/>
      <c r="F264" s="233"/>
      <c r="G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  <c r="V264" s="233"/>
      <c r="W264" s="233"/>
      <c r="X264" s="233"/>
      <c r="Y264" s="233"/>
      <c r="Z264" s="233"/>
      <c r="AA264" s="233"/>
      <c r="AB264" s="233"/>
      <c r="AC264" s="233"/>
      <c r="AD264" s="233"/>
      <c r="AE264" s="233"/>
      <c r="AF264" s="233"/>
      <c r="AG264" s="233"/>
      <c r="AH264" s="233"/>
      <c r="AI264" s="233"/>
      <c r="AJ264" s="233"/>
      <c r="AK264" s="233"/>
      <c r="AL264" s="233"/>
      <c r="AM264" s="233"/>
      <c r="AN264" s="233"/>
      <c r="AO264" s="233"/>
      <c r="AP264" s="233"/>
      <c r="AQ264" s="233"/>
      <c r="AR264" s="233"/>
      <c r="AS264" s="233"/>
      <c r="AT264" s="233"/>
      <c r="AU264" s="233"/>
      <c r="AV264" s="233"/>
      <c r="AW264" s="233"/>
      <c r="AX264" s="233"/>
      <c r="AY264" s="233"/>
      <c r="AZ264" s="233"/>
      <c r="BA264" s="233"/>
      <c r="BB264" s="233"/>
      <c r="BC264" s="233"/>
    </row>
    <row r="265" spans="1:55" ht="19.5" customHeight="1">
      <c r="A265" s="233"/>
      <c r="B265" s="233"/>
      <c r="C265" s="233"/>
      <c r="D265" s="233"/>
      <c r="E265" s="233"/>
      <c r="F265" s="233"/>
      <c r="G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  <c r="V265" s="233"/>
      <c r="W265" s="233"/>
      <c r="X265" s="233"/>
      <c r="Y265" s="233"/>
      <c r="Z265" s="233"/>
      <c r="AA265" s="233"/>
      <c r="AB265" s="233"/>
      <c r="AC265" s="233"/>
      <c r="AD265" s="233"/>
      <c r="AE265" s="233"/>
      <c r="AF265" s="233"/>
      <c r="AG265" s="233"/>
      <c r="AH265" s="233"/>
      <c r="AI265" s="233"/>
      <c r="AJ265" s="233"/>
      <c r="AK265" s="233"/>
      <c r="AL265" s="233"/>
      <c r="AM265" s="233"/>
      <c r="AN265" s="233"/>
      <c r="AO265" s="233"/>
      <c r="AP265" s="233"/>
      <c r="AQ265" s="233"/>
      <c r="AR265" s="233"/>
      <c r="AS265" s="233"/>
      <c r="AT265" s="233"/>
      <c r="AU265" s="233"/>
      <c r="AV265" s="233"/>
      <c r="AW265" s="233"/>
      <c r="AX265" s="233"/>
      <c r="AY265" s="233"/>
      <c r="AZ265" s="233"/>
      <c r="BA265" s="233"/>
      <c r="BB265" s="233"/>
      <c r="BC265" s="233"/>
    </row>
    <row r="266" spans="1:55" ht="19.5" customHeight="1">
      <c r="A266" s="233"/>
      <c r="B266" s="233"/>
      <c r="C266" s="233"/>
      <c r="D266" s="233"/>
      <c r="E266" s="233"/>
      <c r="F266" s="233"/>
      <c r="G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  <c r="V266" s="233"/>
      <c r="W266" s="233"/>
      <c r="X266" s="233"/>
      <c r="Y266" s="233"/>
      <c r="Z266" s="233"/>
      <c r="AA266" s="233"/>
      <c r="AB266" s="233"/>
      <c r="AC266" s="233"/>
      <c r="AD266" s="233"/>
      <c r="AE266" s="233"/>
      <c r="AF266" s="233"/>
      <c r="AG266" s="233"/>
      <c r="AH266" s="233"/>
      <c r="AI266" s="233"/>
      <c r="AJ266" s="233"/>
      <c r="AK266" s="233"/>
      <c r="AL266" s="233"/>
      <c r="AM266" s="233"/>
      <c r="AN266" s="233"/>
      <c r="AO266" s="233"/>
      <c r="AP266" s="233"/>
      <c r="AQ266" s="233"/>
      <c r="AR266" s="233"/>
      <c r="AS266" s="233"/>
      <c r="AT266" s="233"/>
      <c r="AU266" s="233"/>
      <c r="AV266" s="233"/>
      <c r="AW266" s="233"/>
      <c r="AX266" s="233"/>
      <c r="AY266" s="233"/>
      <c r="AZ266" s="233"/>
      <c r="BA266" s="233"/>
      <c r="BB266" s="233"/>
      <c r="BC266" s="233"/>
    </row>
    <row r="267" spans="1:55" ht="19.5" customHeight="1">
      <c r="A267" s="233"/>
      <c r="B267" s="233"/>
      <c r="C267" s="233"/>
      <c r="D267" s="233"/>
      <c r="E267" s="233"/>
      <c r="F267" s="233"/>
      <c r="G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  <c r="V267" s="233"/>
      <c r="W267" s="233"/>
      <c r="X267" s="233"/>
      <c r="Y267" s="233"/>
      <c r="Z267" s="233"/>
      <c r="AA267" s="233"/>
      <c r="AB267" s="233"/>
      <c r="AC267" s="233"/>
      <c r="AD267" s="233"/>
      <c r="AE267" s="233"/>
      <c r="AF267" s="233"/>
      <c r="AG267" s="233"/>
      <c r="AH267" s="233"/>
      <c r="AI267" s="233"/>
      <c r="AJ267" s="233"/>
      <c r="AK267" s="233"/>
      <c r="AL267" s="233"/>
      <c r="AM267" s="233"/>
      <c r="AN267" s="233"/>
      <c r="AO267" s="233"/>
      <c r="AP267" s="233"/>
      <c r="AQ267" s="233"/>
      <c r="AR267" s="233"/>
      <c r="AS267" s="233"/>
      <c r="AT267" s="233"/>
      <c r="AU267" s="233"/>
      <c r="AV267" s="233"/>
      <c r="AW267" s="233"/>
      <c r="AX267" s="233"/>
      <c r="AY267" s="233"/>
      <c r="AZ267" s="233"/>
      <c r="BA267" s="233"/>
      <c r="BB267" s="233"/>
      <c r="BC267" s="233"/>
    </row>
    <row r="268" spans="1:55" ht="19.5" customHeight="1">
      <c r="A268" s="233"/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  <c r="V268" s="233"/>
      <c r="W268" s="233"/>
      <c r="X268" s="233"/>
      <c r="Y268" s="233"/>
      <c r="Z268" s="233"/>
      <c r="AA268" s="233"/>
      <c r="AB268" s="233"/>
      <c r="AC268" s="233"/>
      <c r="AD268" s="233"/>
      <c r="AE268" s="233"/>
      <c r="AF268" s="233"/>
      <c r="AG268" s="233"/>
      <c r="AH268" s="233"/>
      <c r="AI268" s="233"/>
      <c r="AJ268" s="233"/>
      <c r="AK268" s="233"/>
      <c r="AL268" s="233"/>
      <c r="AM268" s="233"/>
      <c r="AN268" s="233"/>
      <c r="AO268" s="233"/>
      <c r="AP268" s="233"/>
      <c r="AQ268" s="233"/>
      <c r="AR268" s="233"/>
      <c r="AS268" s="233"/>
      <c r="AT268" s="233"/>
      <c r="AU268" s="233"/>
      <c r="AV268" s="233"/>
      <c r="AW268" s="233"/>
      <c r="AX268" s="233"/>
      <c r="AY268" s="233"/>
      <c r="AZ268" s="233"/>
      <c r="BA268" s="233"/>
      <c r="BB268" s="233"/>
      <c r="BC268" s="233"/>
    </row>
    <row r="269" spans="1:55" ht="19.5" customHeight="1">
      <c r="A269" s="233"/>
      <c r="B269" s="233"/>
      <c r="C269" s="233"/>
      <c r="D269" s="233"/>
      <c r="E269" s="233"/>
      <c r="F269" s="233"/>
      <c r="G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  <c r="V269" s="233"/>
      <c r="W269" s="233"/>
      <c r="X269" s="233"/>
      <c r="Y269" s="233"/>
      <c r="Z269" s="233"/>
      <c r="AA269" s="233"/>
      <c r="AB269" s="233"/>
      <c r="AC269" s="233"/>
      <c r="AD269" s="233"/>
      <c r="AE269" s="233"/>
      <c r="AF269" s="233"/>
      <c r="AG269" s="233"/>
      <c r="AH269" s="233"/>
      <c r="AI269" s="233"/>
      <c r="AJ269" s="233"/>
      <c r="AK269" s="233"/>
      <c r="AL269" s="233"/>
      <c r="AM269" s="233"/>
      <c r="AN269" s="233"/>
      <c r="AO269" s="233"/>
      <c r="AP269" s="233"/>
      <c r="AQ269" s="233"/>
      <c r="AR269" s="233"/>
      <c r="AS269" s="233"/>
      <c r="AT269" s="233"/>
      <c r="AU269" s="233"/>
      <c r="AV269" s="233"/>
      <c r="AW269" s="233"/>
      <c r="AX269" s="233"/>
      <c r="AY269" s="233"/>
      <c r="AZ269" s="233"/>
      <c r="BA269" s="233"/>
      <c r="BB269" s="233"/>
      <c r="BC269" s="233"/>
    </row>
    <row r="270" spans="1:55" ht="19.5" customHeight="1">
      <c r="A270" s="233"/>
      <c r="B270" s="233"/>
      <c r="C270" s="233"/>
      <c r="D270" s="233"/>
      <c r="E270" s="233"/>
      <c r="F270" s="233"/>
      <c r="G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  <c r="V270" s="233"/>
      <c r="W270" s="233"/>
      <c r="X270" s="233"/>
      <c r="Y270" s="233"/>
      <c r="Z270" s="233"/>
      <c r="AA270" s="233"/>
      <c r="AB270" s="233"/>
      <c r="AC270" s="233"/>
      <c r="AD270" s="233"/>
      <c r="AE270" s="233"/>
      <c r="AF270" s="233"/>
      <c r="AG270" s="233"/>
      <c r="AH270" s="233"/>
      <c r="AI270" s="233"/>
      <c r="AJ270" s="233"/>
      <c r="AK270" s="233"/>
      <c r="AL270" s="233"/>
      <c r="AM270" s="233"/>
      <c r="AN270" s="233"/>
      <c r="AO270" s="233"/>
      <c r="AP270" s="233"/>
      <c r="AQ270" s="233"/>
      <c r="AR270" s="233"/>
      <c r="AS270" s="233"/>
      <c r="AT270" s="233"/>
      <c r="AU270" s="233"/>
      <c r="AV270" s="233"/>
      <c r="AW270" s="233"/>
      <c r="AX270" s="233"/>
      <c r="AY270" s="233"/>
      <c r="AZ270" s="233"/>
      <c r="BA270" s="233"/>
      <c r="BB270" s="233"/>
      <c r="BC270" s="233"/>
    </row>
    <row r="271" spans="1:55" ht="19.5" customHeight="1">
      <c r="A271" s="233"/>
      <c r="B271" s="233"/>
      <c r="C271" s="233"/>
      <c r="D271" s="233"/>
      <c r="E271" s="233"/>
      <c r="F271" s="233"/>
      <c r="G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  <c r="V271" s="233"/>
      <c r="W271" s="233"/>
      <c r="X271" s="233"/>
      <c r="Y271" s="233"/>
      <c r="Z271" s="233"/>
      <c r="AA271" s="233"/>
      <c r="AB271" s="233"/>
      <c r="AC271" s="233"/>
      <c r="AD271" s="233"/>
      <c r="AE271" s="233"/>
      <c r="AF271" s="233"/>
      <c r="AG271" s="233"/>
      <c r="AH271" s="233"/>
      <c r="AI271" s="233"/>
      <c r="AJ271" s="233"/>
      <c r="AK271" s="233"/>
      <c r="AL271" s="233"/>
      <c r="AM271" s="233"/>
      <c r="AN271" s="233"/>
      <c r="AO271" s="233"/>
      <c r="AP271" s="233"/>
      <c r="AQ271" s="233"/>
      <c r="AR271" s="233"/>
      <c r="AS271" s="233"/>
      <c r="AT271" s="233"/>
      <c r="AU271" s="233"/>
      <c r="AV271" s="233"/>
      <c r="AW271" s="233"/>
      <c r="AX271" s="233"/>
      <c r="AY271" s="233"/>
      <c r="AZ271" s="233"/>
      <c r="BA271" s="233"/>
      <c r="BB271" s="233"/>
      <c r="BC271" s="233"/>
    </row>
    <row r="272" spans="1:55" ht="19.5" customHeight="1">
      <c r="A272" s="233"/>
      <c r="B272" s="233"/>
      <c r="C272" s="233"/>
      <c r="D272" s="233"/>
      <c r="E272" s="233"/>
      <c r="F272" s="233"/>
      <c r="G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  <c r="V272" s="233"/>
      <c r="W272" s="233"/>
      <c r="X272" s="233"/>
      <c r="Y272" s="233"/>
      <c r="Z272" s="233"/>
      <c r="AA272" s="233"/>
      <c r="AB272" s="233"/>
      <c r="AC272" s="233"/>
      <c r="AD272" s="233"/>
      <c r="AE272" s="233"/>
      <c r="AF272" s="233"/>
      <c r="AG272" s="233"/>
      <c r="AH272" s="233"/>
      <c r="AI272" s="233"/>
      <c r="AJ272" s="233"/>
      <c r="AK272" s="233"/>
      <c r="AL272" s="233"/>
      <c r="AM272" s="233"/>
      <c r="AN272" s="233"/>
      <c r="AO272" s="233"/>
      <c r="AP272" s="233"/>
      <c r="AQ272" s="233"/>
      <c r="AR272" s="233"/>
      <c r="AS272" s="233"/>
      <c r="AT272" s="233"/>
      <c r="AU272" s="233"/>
      <c r="AV272" s="233"/>
      <c r="AW272" s="233"/>
      <c r="AX272" s="233"/>
      <c r="AY272" s="233"/>
      <c r="AZ272" s="233"/>
      <c r="BA272" s="233"/>
      <c r="BB272" s="233"/>
      <c r="BC272" s="233"/>
    </row>
    <row r="273" spans="1:55" ht="19.5" customHeight="1">
      <c r="A273" s="233"/>
      <c r="B273" s="233"/>
      <c r="C273" s="233"/>
      <c r="D273" s="233"/>
      <c r="E273" s="233"/>
      <c r="F273" s="233"/>
      <c r="G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  <c r="V273" s="233"/>
      <c r="W273" s="233"/>
      <c r="X273" s="233"/>
      <c r="Y273" s="233"/>
      <c r="Z273" s="233"/>
      <c r="AA273" s="233"/>
      <c r="AB273" s="233"/>
      <c r="AC273" s="233"/>
      <c r="AD273" s="233"/>
      <c r="AE273" s="233"/>
      <c r="AF273" s="233"/>
      <c r="AG273" s="233"/>
      <c r="AH273" s="233"/>
      <c r="AI273" s="233"/>
      <c r="AJ273" s="233"/>
      <c r="AK273" s="233"/>
      <c r="AL273" s="233"/>
      <c r="AM273" s="233"/>
      <c r="AN273" s="233"/>
      <c r="AO273" s="233"/>
      <c r="AP273" s="233"/>
      <c r="AQ273" s="233"/>
      <c r="AR273" s="233"/>
      <c r="AS273" s="233"/>
      <c r="AT273" s="233"/>
      <c r="AU273" s="233"/>
      <c r="AV273" s="233"/>
      <c r="AW273" s="233"/>
      <c r="AX273" s="233"/>
      <c r="AY273" s="233"/>
      <c r="AZ273" s="233"/>
      <c r="BA273" s="233"/>
      <c r="BB273" s="233"/>
      <c r="BC273" s="233"/>
    </row>
    <row r="274" spans="1:55" ht="19.5" customHeight="1">
      <c r="A274" s="233"/>
      <c r="B274" s="233"/>
      <c r="C274" s="233"/>
      <c r="D274" s="233"/>
      <c r="E274" s="233"/>
      <c r="F274" s="233"/>
      <c r="G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  <c r="V274" s="233"/>
      <c r="W274" s="233"/>
      <c r="X274" s="233"/>
      <c r="Y274" s="233"/>
      <c r="Z274" s="233"/>
      <c r="AA274" s="233"/>
      <c r="AB274" s="233"/>
      <c r="AC274" s="233"/>
      <c r="AD274" s="233"/>
      <c r="AE274" s="233"/>
      <c r="AF274" s="233"/>
      <c r="AG274" s="233"/>
      <c r="AH274" s="233"/>
      <c r="AI274" s="233"/>
      <c r="AJ274" s="233"/>
      <c r="AK274" s="233"/>
      <c r="AL274" s="233"/>
      <c r="AM274" s="233"/>
      <c r="AN274" s="233"/>
      <c r="AO274" s="233"/>
      <c r="AP274" s="233"/>
      <c r="AQ274" s="233"/>
      <c r="AR274" s="233"/>
      <c r="AS274" s="233"/>
      <c r="AT274" s="233"/>
      <c r="AU274" s="233"/>
      <c r="AV274" s="233"/>
      <c r="AW274" s="233"/>
      <c r="AX274" s="233"/>
      <c r="AY274" s="233"/>
      <c r="AZ274" s="233"/>
      <c r="BA274" s="233"/>
      <c r="BB274" s="233"/>
      <c r="BC274" s="233"/>
    </row>
    <row r="275" spans="1:55" ht="19.5" customHeight="1">
      <c r="A275" s="233"/>
      <c r="B275" s="233"/>
      <c r="C275" s="233"/>
      <c r="D275" s="233"/>
      <c r="E275" s="233"/>
      <c r="F275" s="233"/>
      <c r="G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  <c r="V275" s="233"/>
      <c r="W275" s="233"/>
      <c r="X275" s="233"/>
      <c r="Y275" s="233"/>
      <c r="Z275" s="233"/>
      <c r="AA275" s="233"/>
      <c r="AB275" s="233"/>
      <c r="AC275" s="233"/>
      <c r="AD275" s="233"/>
      <c r="AE275" s="233"/>
      <c r="AF275" s="233"/>
      <c r="AG275" s="233"/>
      <c r="AH275" s="233"/>
      <c r="AI275" s="233"/>
      <c r="AJ275" s="233"/>
      <c r="AK275" s="233"/>
      <c r="AL275" s="233"/>
      <c r="AM275" s="233"/>
      <c r="AN275" s="233"/>
      <c r="AO275" s="233"/>
      <c r="AP275" s="233"/>
      <c r="AQ275" s="233"/>
      <c r="AR275" s="233"/>
      <c r="AS275" s="233"/>
      <c r="AT275" s="233"/>
      <c r="AU275" s="233"/>
      <c r="AV275" s="233"/>
      <c r="AW275" s="233"/>
      <c r="AX275" s="233"/>
      <c r="AY275" s="233"/>
      <c r="AZ275" s="233"/>
      <c r="BA275" s="233"/>
      <c r="BB275" s="233"/>
      <c r="BC275" s="233"/>
    </row>
    <row r="276" spans="1:55" ht="19.5" customHeight="1">
      <c r="A276" s="233"/>
      <c r="B276" s="233"/>
      <c r="C276" s="233"/>
      <c r="D276" s="233"/>
      <c r="E276" s="233"/>
      <c r="F276" s="233"/>
      <c r="G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  <c r="X276" s="233"/>
      <c r="Y276" s="233"/>
      <c r="Z276" s="233"/>
      <c r="AA276" s="233"/>
      <c r="AB276" s="233"/>
      <c r="AC276" s="233"/>
      <c r="AD276" s="233"/>
      <c r="AE276" s="233"/>
      <c r="AF276" s="233"/>
      <c r="AG276" s="233"/>
      <c r="AH276" s="233"/>
      <c r="AI276" s="233"/>
      <c r="AJ276" s="233"/>
      <c r="AK276" s="233"/>
      <c r="AL276" s="233"/>
      <c r="AM276" s="233"/>
      <c r="AN276" s="233"/>
      <c r="AO276" s="233"/>
      <c r="AP276" s="233"/>
      <c r="AQ276" s="233"/>
      <c r="AR276" s="233"/>
      <c r="AS276" s="233"/>
      <c r="AT276" s="233"/>
      <c r="AU276" s="233"/>
      <c r="AV276" s="233"/>
      <c r="AW276" s="233"/>
      <c r="AX276" s="233"/>
      <c r="AY276" s="233"/>
      <c r="AZ276" s="233"/>
      <c r="BA276" s="233"/>
      <c r="BB276" s="233"/>
      <c r="BC276" s="233"/>
    </row>
    <row r="277" spans="1:55" ht="19.5" customHeight="1">
      <c r="A277" s="233"/>
      <c r="B277" s="233"/>
      <c r="C277" s="233"/>
      <c r="D277" s="233"/>
      <c r="E277" s="233"/>
      <c r="F277" s="233"/>
      <c r="G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  <c r="X277" s="233"/>
      <c r="Y277" s="233"/>
      <c r="Z277" s="233"/>
      <c r="AA277" s="233"/>
      <c r="AB277" s="233"/>
      <c r="AC277" s="233"/>
      <c r="AD277" s="233"/>
      <c r="AE277" s="233"/>
      <c r="AF277" s="233"/>
      <c r="AG277" s="233"/>
      <c r="AH277" s="233"/>
      <c r="AI277" s="233"/>
      <c r="AJ277" s="233"/>
      <c r="AK277" s="233"/>
      <c r="AL277" s="233"/>
      <c r="AM277" s="233"/>
      <c r="AN277" s="233"/>
      <c r="AO277" s="233"/>
      <c r="AP277" s="233"/>
      <c r="AQ277" s="233"/>
      <c r="AR277" s="233"/>
      <c r="AS277" s="233"/>
      <c r="AT277" s="233"/>
      <c r="AU277" s="233"/>
      <c r="AV277" s="233"/>
      <c r="AW277" s="233"/>
      <c r="AX277" s="233"/>
      <c r="AY277" s="233"/>
      <c r="AZ277" s="233"/>
      <c r="BA277" s="233"/>
      <c r="BB277" s="233"/>
      <c r="BC277" s="233"/>
    </row>
    <row r="278" spans="1:55" ht="19.5" customHeight="1">
      <c r="A278" s="233"/>
      <c r="B278" s="233"/>
      <c r="C278" s="233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  <c r="V278" s="233"/>
      <c r="W278" s="233"/>
      <c r="X278" s="233"/>
      <c r="Y278" s="233"/>
      <c r="Z278" s="233"/>
      <c r="AA278" s="233"/>
      <c r="AB278" s="233"/>
      <c r="AC278" s="233"/>
      <c r="AD278" s="233"/>
      <c r="AE278" s="233"/>
      <c r="AF278" s="233"/>
      <c r="AG278" s="233"/>
      <c r="AH278" s="233"/>
      <c r="AI278" s="233"/>
      <c r="AJ278" s="233"/>
      <c r="AK278" s="233"/>
      <c r="AL278" s="233"/>
      <c r="AM278" s="233"/>
      <c r="AN278" s="233"/>
      <c r="AO278" s="233"/>
      <c r="AP278" s="233"/>
      <c r="AQ278" s="233"/>
      <c r="AR278" s="233"/>
      <c r="AS278" s="233"/>
      <c r="AT278" s="233"/>
      <c r="AU278" s="233"/>
      <c r="AV278" s="233"/>
      <c r="AW278" s="233"/>
      <c r="AX278" s="233"/>
      <c r="AY278" s="233"/>
      <c r="AZ278" s="233"/>
      <c r="BA278" s="233"/>
      <c r="BB278" s="233"/>
      <c r="BC278" s="233"/>
    </row>
    <row r="279" spans="1:55" ht="19.5" customHeight="1">
      <c r="A279" s="233"/>
      <c r="B279" s="233"/>
      <c r="C279" s="233"/>
      <c r="D279" s="233"/>
      <c r="E279" s="233"/>
      <c r="F279" s="233"/>
      <c r="G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  <c r="V279" s="233"/>
      <c r="W279" s="233"/>
      <c r="X279" s="233"/>
      <c r="Y279" s="233"/>
      <c r="Z279" s="233"/>
      <c r="AA279" s="233"/>
      <c r="AB279" s="233"/>
      <c r="AC279" s="233"/>
      <c r="AD279" s="233"/>
      <c r="AE279" s="233"/>
      <c r="AF279" s="233"/>
      <c r="AG279" s="233"/>
      <c r="AH279" s="233"/>
      <c r="AI279" s="233"/>
      <c r="AJ279" s="233"/>
      <c r="AK279" s="233"/>
      <c r="AL279" s="233"/>
      <c r="AM279" s="233"/>
      <c r="AN279" s="233"/>
      <c r="AO279" s="233"/>
      <c r="AP279" s="233"/>
      <c r="AQ279" s="233"/>
      <c r="AR279" s="233"/>
      <c r="AS279" s="233"/>
      <c r="AT279" s="233"/>
      <c r="AU279" s="233"/>
      <c r="AV279" s="233"/>
      <c r="AW279" s="233"/>
      <c r="AX279" s="233"/>
      <c r="AY279" s="233"/>
      <c r="AZ279" s="233"/>
      <c r="BA279" s="233"/>
      <c r="BB279" s="233"/>
      <c r="BC279" s="233"/>
    </row>
    <row r="280" spans="1:55" ht="19.5" customHeight="1">
      <c r="A280" s="233"/>
      <c r="B280" s="233"/>
      <c r="C280" s="233"/>
      <c r="D280" s="233"/>
      <c r="E280" s="233"/>
      <c r="F280" s="233"/>
      <c r="G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  <c r="V280" s="233"/>
      <c r="W280" s="233"/>
      <c r="X280" s="233"/>
      <c r="Y280" s="233"/>
      <c r="Z280" s="233"/>
      <c r="AA280" s="233"/>
      <c r="AB280" s="233"/>
      <c r="AC280" s="233"/>
      <c r="AD280" s="233"/>
      <c r="AE280" s="233"/>
      <c r="AF280" s="233"/>
      <c r="AG280" s="233"/>
      <c r="AH280" s="233"/>
      <c r="AI280" s="233"/>
      <c r="AJ280" s="233"/>
      <c r="AK280" s="233"/>
      <c r="AL280" s="233"/>
      <c r="AM280" s="233"/>
      <c r="AN280" s="233"/>
      <c r="AO280" s="233"/>
      <c r="AP280" s="233"/>
      <c r="AQ280" s="233"/>
      <c r="AR280" s="233"/>
      <c r="AS280" s="233"/>
      <c r="AT280" s="233"/>
      <c r="AU280" s="233"/>
      <c r="AV280" s="233"/>
      <c r="AW280" s="233"/>
      <c r="AX280" s="233"/>
      <c r="AY280" s="233"/>
      <c r="AZ280" s="233"/>
      <c r="BA280" s="233"/>
      <c r="BB280" s="233"/>
      <c r="BC280" s="233"/>
    </row>
    <row r="281" spans="1:55" ht="19.5" customHeight="1">
      <c r="A281" s="233"/>
      <c r="B281" s="233"/>
      <c r="C281" s="233"/>
      <c r="D281" s="233"/>
      <c r="E281" s="233"/>
      <c r="F281" s="233"/>
      <c r="G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  <c r="V281" s="233"/>
      <c r="W281" s="233"/>
      <c r="X281" s="233"/>
      <c r="Y281" s="233"/>
      <c r="Z281" s="233"/>
      <c r="AA281" s="233"/>
      <c r="AB281" s="233"/>
      <c r="AC281" s="233"/>
      <c r="AD281" s="233"/>
      <c r="AE281" s="233"/>
      <c r="AF281" s="233"/>
      <c r="AG281" s="233"/>
      <c r="AH281" s="233"/>
      <c r="AI281" s="233"/>
      <c r="AJ281" s="233"/>
      <c r="AK281" s="233"/>
      <c r="AL281" s="233"/>
      <c r="AM281" s="233"/>
      <c r="AN281" s="233"/>
      <c r="AO281" s="233"/>
      <c r="AP281" s="233"/>
      <c r="AQ281" s="233"/>
      <c r="AR281" s="233"/>
      <c r="AS281" s="233"/>
      <c r="AT281" s="233"/>
      <c r="AU281" s="233"/>
      <c r="AV281" s="233"/>
      <c r="AW281" s="233"/>
      <c r="AX281" s="233"/>
      <c r="AY281" s="233"/>
      <c r="AZ281" s="233"/>
      <c r="BA281" s="233"/>
      <c r="BB281" s="233"/>
      <c r="BC281" s="233"/>
    </row>
    <row r="282" spans="1:55" ht="19.5" customHeight="1">
      <c r="A282" s="233"/>
      <c r="B282" s="233"/>
      <c r="C282" s="233"/>
      <c r="D282" s="233"/>
      <c r="E282" s="233"/>
      <c r="F282" s="233"/>
      <c r="G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  <c r="V282" s="233"/>
      <c r="W282" s="233"/>
      <c r="X282" s="233"/>
      <c r="Y282" s="233"/>
      <c r="Z282" s="233"/>
      <c r="AA282" s="233"/>
      <c r="AB282" s="233"/>
      <c r="AC282" s="233"/>
      <c r="AD282" s="233"/>
      <c r="AE282" s="233"/>
      <c r="AF282" s="233"/>
      <c r="AG282" s="233"/>
      <c r="AH282" s="233"/>
      <c r="AI282" s="233"/>
      <c r="AJ282" s="233"/>
      <c r="AK282" s="233"/>
      <c r="AL282" s="233"/>
      <c r="AM282" s="233"/>
      <c r="AN282" s="233"/>
      <c r="AO282" s="233"/>
      <c r="AP282" s="233"/>
      <c r="AQ282" s="233"/>
      <c r="AR282" s="233"/>
      <c r="AS282" s="233"/>
      <c r="AT282" s="233"/>
      <c r="AU282" s="233"/>
      <c r="AV282" s="233"/>
      <c r="AW282" s="233"/>
      <c r="AX282" s="233"/>
      <c r="AY282" s="233"/>
      <c r="AZ282" s="233"/>
      <c r="BA282" s="233"/>
      <c r="BB282" s="233"/>
      <c r="BC282" s="233"/>
    </row>
    <row r="283" spans="1:55" ht="19.5" customHeight="1">
      <c r="A283" s="233"/>
      <c r="B283" s="233"/>
      <c r="C283" s="233"/>
      <c r="D283" s="233"/>
      <c r="E283" s="233"/>
      <c r="F283" s="233"/>
      <c r="G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33"/>
      <c r="Y283" s="233"/>
      <c r="Z283" s="233"/>
      <c r="AA283" s="233"/>
      <c r="AB283" s="233"/>
      <c r="AC283" s="233"/>
      <c r="AD283" s="233"/>
      <c r="AE283" s="233"/>
      <c r="AF283" s="233"/>
      <c r="AG283" s="233"/>
      <c r="AH283" s="233"/>
      <c r="AI283" s="233"/>
      <c r="AJ283" s="233"/>
      <c r="AK283" s="233"/>
      <c r="AL283" s="233"/>
      <c r="AM283" s="233"/>
      <c r="AN283" s="233"/>
      <c r="AO283" s="233"/>
      <c r="AP283" s="233"/>
      <c r="AQ283" s="233"/>
      <c r="AR283" s="233"/>
      <c r="AS283" s="233"/>
      <c r="AT283" s="233"/>
      <c r="AU283" s="233"/>
      <c r="AV283" s="233"/>
      <c r="AW283" s="233"/>
      <c r="AX283" s="233"/>
      <c r="AY283" s="233"/>
      <c r="AZ283" s="233"/>
      <c r="BA283" s="233"/>
      <c r="BB283" s="233"/>
      <c r="BC283" s="233"/>
    </row>
    <row r="284" spans="1:55" ht="19.5" customHeight="1">
      <c r="A284" s="233"/>
      <c r="B284" s="233"/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3"/>
      <c r="Z284" s="233"/>
      <c r="AA284" s="233"/>
      <c r="AB284" s="233"/>
      <c r="AC284" s="233"/>
      <c r="AD284" s="233"/>
      <c r="AE284" s="233"/>
      <c r="AF284" s="233"/>
      <c r="AG284" s="233"/>
      <c r="AH284" s="233"/>
      <c r="AI284" s="233"/>
      <c r="AJ284" s="233"/>
      <c r="AK284" s="233"/>
      <c r="AL284" s="233"/>
      <c r="AM284" s="233"/>
      <c r="AN284" s="233"/>
      <c r="AO284" s="233"/>
      <c r="AP284" s="233"/>
      <c r="AQ284" s="233"/>
      <c r="AR284" s="233"/>
      <c r="AS284" s="233"/>
      <c r="AT284" s="233"/>
      <c r="AU284" s="233"/>
      <c r="AV284" s="233"/>
      <c r="AW284" s="233"/>
      <c r="AX284" s="233"/>
      <c r="AY284" s="233"/>
      <c r="AZ284" s="233"/>
      <c r="BA284" s="233"/>
      <c r="BB284" s="233"/>
      <c r="BC284" s="233"/>
    </row>
    <row r="285" spans="1:55" ht="19.5" customHeight="1">
      <c r="A285" s="233"/>
      <c r="B285" s="233"/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3"/>
      <c r="Z285" s="233"/>
      <c r="AA285" s="233"/>
      <c r="AB285" s="233"/>
      <c r="AC285" s="233"/>
      <c r="AD285" s="233"/>
      <c r="AE285" s="233"/>
      <c r="AF285" s="233"/>
      <c r="AG285" s="233"/>
      <c r="AH285" s="233"/>
      <c r="AI285" s="233"/>
      <c r="AJ285" s="233"/>
      <c r="AK285" s="233"/>
      <c r="AL285" s="233"/>
      <c r="AM285" s="233"/>
      <c r="AN285" s="233"/>
      <c r="AO285" s="233"/>
      <c r="AP285" s="233"/>
      <c r="AQ285" s="233"/>
      <c r="AR285" s="233"/>
      <c r="AS285" s="233"/>
      <c r="AT285" s="233"/>
      <c r="AU285" s="233"/>
      <c r="AV285" s="233"/>
      <c r="AW285" s="233"/>
      <c r="AX285" s="233"/>
      <c r="AY285" s="233"/>
      <c r="AZ285" s="233"/>
      <c r="BA285" s="233"/>
      <c r="BB285" s="233"/>
      <c r="BC285" s="233"/>
    </row>
    <row r="286" spans="1:55" ht="19.5" customHeight="1">
      <c r="A286" s="233"/>
      <c r="B286" s="233"/>
      <c r="C286" s="233"/>
      <c r="D286" s="233"/>
      <c r="E286" s="233"/>
      <c r="F286" s="233"/>
      <c r="G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  <c r="V286" s="233"/>
      <c r="W286" s="233"/>
      <c r="X286" s="233"/>
      <c r="Y286" s="233"/>
      <c r="Z286" s="233"/>
      <c r="AA286" s="233"/>
      <c r="AB286" s="233"/>
      <c r="AC286" s="233"/>
      <c r="AD286" s="233"/>
      <c r="AE286" s="233"/>
      <c r="AF286" s="233"/>
      <c r="AG286" s="233"/>
      <c r="AH286" s="233"/>
      <c r="AI286" s="233"/>
      <c r="AJ286" s="233"/>
      <c r="AK286" s="233"/>
      <c r="AL286" s="233"/>
      <c r="AM286" s="233"/>
      <c r="AN286" s="233"/>
      <c r="AO286" s="233"/>
      <c r="AP286" s="233"/>
      <c r="AQ286" s="233"/>
      <c r="AR286" s="233"/>
      <c r="AS286" s="233"/>
      <c r="AT286" s="233"/>
      <c r="AU286" s="233"/>
      <c r="AV286" s="233"/>
      <c r="AW286" s="233"/>
      <c r="AX286" s="233"/>
      <c r="AY286" s="233"/>
      <c r="AZ286" s="233"/>
      <c r="BA286" s="233"/>
      <c r="BB286" s="233"/>
      <c r="BC286" s="233"/>
    </row>
    <row r="287" spans="1:55" ht="19.5" customHeight="1">
      <c r="A287" s="233"/>
      <c r="B287" s="233"/>
      <c r="C287" s="233"/>
      <c r="D287" s="233"/>
      <c r="E287" s="233"/>
      <c r="F287" s="233"/>
      <c r="G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  <c r="V287" s="233"/>
      <c r="W287" s="233"/>
      <c r="X287" s="233"/>
      <c r="Y287" s="233"/>
      <c r="Z287" s="233"/>
      <c r="AA287" s="233"/>
      <c r="AB287" s="233"/>
      <c r="AC287" s="233"/>
      <c r="AD287" s="233"/>
      <c r="AE287" s="233"/>
      <c r="AF287" s="233"/>
      <c r="AG287" s="233"/>
      <c r="AH287" s="233"/>
      <c r="AI287" s="233"/>
      <c r="AJ287" s="233"/>
      <c r="AK287" s="233"/>
      <c r="AL287" s="233"/>
      <c r="AM287" s="233"/>
      <c r="AN287" s="233"/>
      <c r="AO287" s="233"/>
      <c r="AP287" s="233"/>
      <c r="AQ287" s="233"/>
      <c r="AR287" s="233"/>
      <c r="AS287" s="233"/>
      <c r="AT287" s="233"/>
      <c r="AU287" s="233"/>
      <c r="AV287" s="233"/>
      <c r="AW287" s="233"/>
      <c r="AX287" s="233"/>
      <c r="AY287" s="233"/>
      <c r="AZ287" s="233"/>
      <c r="BA287" s="233"/>
      <c r="BB287" s="233"/>
      <c r="BC287" s="233"/>
    </row>
    <row r="288" spans="1:55" ht="19.5" customHeight="1">
      <c r="A288" s="233"/>
      <c r="B288" s="233"/>
      <c r="C288" s="233"/>
      <c r="D288" s="233"/>
      <c r="E288" s="233"/>
      <c r="F288" s="233"/>
      <c r="G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  <c r="V288" s="233"/>
      <c r="W288" s="233"/>
      <c r="X288" s="233"/>
      <c r="Y288" s="233"/>
      <c r="Z288" s="233"/>
      <c r="AA288" s="233"/>
      <c r="AB288" s="233"/>
      <c r="AC288" s="233"/>
      <c r="AD288" s="233"/>
      <c r="AE288" s="233"/>
      <c r="AF288" s="233"/>
      <c r="AG288" s="233"/>
      <c r="AH288" s="233"/>
      <c r="AI288" s="233"/>
      <c r="AJ288" s="233"/>
      <c r="AK288" s="233"/>
      <c r="AL288" s="233"/>
      <c r="AM288" s="233"/>
      <c r="AN288" s="233"/>
      <c r="AO288" s="233"/>
      <c r="AP288" s="233"/>
      <c r="AQ288" s="233"/>
      <c r="AR288" s="233"/>
      <c r="AS288" s="233"/>
      <c r="AT288" s="233"/>
      <c r="AU288" s="233"/>
      <c r="AV288" s="233"/>
      <c r="AW288" s="233"/>
      <c r="AX288" s="233"/>
      <c r="AY288" s="233"/>
      <c r="AZ288" s="233"/>
      <c r="BA288" s="233"/>
      <c r="BB288" s="233"/>
      <c r="BC288" s="233"/>
    </row>
    <row r="289" spans="1:55" ht="19.5" customHeight="1">
      <c r="A289" s="233"/>
      <c r="B289" s="233"/>
      <c r="C289" s="233"/>
      <c r="D289" s="233"/>
      <c r="E289" s="233"/>
      <c r="F289" s="233"/>
      <c r="G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  <c r="V289" s="233"/>
      <c r="W289" s="233"/>
      <c r="X289" s="233"/>
      <c r="Y289" s="233"/>
      <c r="Z289" s="233"/>
      <c r="AA289" s="233"/>
      <c r="AB289" s="233"/>
      <c r="AC289" s="233"/>
      <c r="AD289" s="233"/>
      <c r="AE289" s="233"/>
      <c r="AF289" s="233"/>
      <c r="AG289" s="233"/>
      <c r="AH289" s="233"/>
      <c r="AI289" s="233"/>
      <c r="AJ289" s="233"/>
      <c r="AK289" s="233"/>
      <c r="AL289" s="233"/>
      <c r="AM289" s="233"/>
      <c r="AN289" s="233"/>
      <c r="AO289" s="233"/>
      <c r="AP289" s="233"/>
      <c r="AQ289" s="233"/>
      <c r="AR289" s="233"/>
      <c r="AS289" s="233"/>
      <c r="AT289" s="233"/>
      <c r="AU289" s="233"/>
      <c r="AV289" s="233"/>
      <c r="AW289" s="233"/>
      <c r="AX289" s="233"/>
      <c r="AY289" s="233"/>
      <c r="AZ289" s="233"/>
      <c r="BA289" s="233"/>
      <c r="BB289" s="233"/>
      <c r="BC289" s="233"/>
    </row>
    <row r="290" spans="1:55" ht="19.5" customHeight="1">
      <c r="A290" s="233"/>
      <c r="B290" s="233"/>
      <c r="C290" s="233"/>
      <c r="D290" s="233"/>
      <c r="E290" s="233"/>
      <c r="F290" s="233"/>
      <c r="G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3"/>
      <c r="AG290" s="233"/>
      <c r="AH290" s="233"/>
      <c r="AI290" s="233"/>
      <c r="AJ290" s="233"/>
      <c r="AK290" s="233"/>
      <c r="AL290" s="233"/>
      <c r="AM290" s="233"/>
      <c r="AN290" s="233"/>
      <c r="AO290" s="233"/>
      <c r="AP290" s="233"/>
      <c r="AQ290" s="233"/>
      <c r="AR290" s="233"/>
      <c r="AS290" s="233"/>
      <c r="AT290" s="233"/>
      <c r="AU290" s="233"/>
      <c r="AV290" s="233"/>
      <c r="AW290" s="233"/>
      <c r="AX290" s="233"/>
      <c r="AY290" s="233"/>
      <c r="AZ290" s="233"/>
      <c r="BA290" s="233"/>
      <c r="BB290" s="233"/>
      <c r="BC290" s="233"/>
    </row>
    <row r="291" spans="1:55" ht="19.5" customHeight="1">
      <c r="A291" s="233"/>
      <c r="B291" s="233"/>
      <c r="C291" s="233"/>
      <c r="D291" s="233"/>
      <c r="E291" s="233"/>
      <c r="F291" s="233"/>
      <c r="G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3"/>
      <c r="AG291" s="233"/>
      <c r="AH291" s="233"/>
      <c r="AI291" s="233"/>
      <c r="AJ291" s="233"/>
      <c r="AK291" s="233"/>
      <c r="AL291" s="233"/>
      <c r="AM291" s="233"/>
      <c r="AN291" s="233"/>
      <c r="AO291" s="233"/>
      <c r="AP291" s="233"/>
      <c r="AQ291" s="233"/>
      <c r="AR291" s="233"/>
      <c r="AS291" s="233"/>
      <c r="AT291" s="233"/>
      <c r="AU291" s="233"/>
      <c r="AV291" s="233"/>
      <c r="AW291" s="233"/>
      <c r="AX291" s="233"/>
      <c r="AY291" s="233"/>
      <c r="AZ291" s="233"/>
      <c r="BA291" s="233"/>
      <c r="BB291" s="233"/>
      <c r="BC291" s="233"/>
    </row>
    <row r="292" spans="1:55" ht="19.5" customHeight="1">
      <c r="A292" s="233"/>
      <c r="B292" s="233"/>
      <c r="C292" s="233"/>
      <c r="D292" s="233"/>
      <c r="E292" s="233"/>
      <c r="F292" s="233"/>
      <c r="G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  <c r="V292" s="233"/>
      <c r="W292" s="233"/>
      <c r="X292" s="233"/>
      <c r="Y292" s="233"/>
      <c r="Z292" s="233"/>
      <c r="AA292" s="233"/>
      <c r="AB292" s="233"/>
      <c r="AC292" s="233"/>
      <c r="AD292" s="233"/>
      <c r="AE292" s="233"/>
      <c r="AF292" s="233"/>
      <c r="AG292" s="233"/>
      <c r="AH292" s="233"/>
      <c r="AI292" s="233"/>
      <c r="AJ292" s="233"/>
      <c r="AK292" s="233"/>
      <c r="AL292" s="233"/>
      <c r="AM292" s="233"/>
      <c r="AN292" s="233"/>
      <c r="AO292" s="233"/>
      <c r="AP292" s="233"/>
      <c r="AQ292" s="233"/>
      <c r="AR292" s="233"/>
      <c r="AS292" s="233"/>
      <c r="AT292" s="233"/>
      <c r="AU292" s="233"/>
      <c r="AV292" s="233"/>
      <c r="AW292" s="233"/>
      <c r="AX292" s="233"/>
      <c r="AY292" s="233"/>
      <c r="AZ292" s="233"/>
      <c r="BA292" s="233"/>
      <c r="BB292" s="233"/>
      <c r="BC292" s="233"/>
    </row>
    <row r="293" spans="1:55" ht="19.5" customHeight="1">
      <c r="A293" s="233"/>
      <c r="B293" s="233"/>
      <c r="C293" s="233"/>
      <c r="D293" s="233"/>
      <c r="E293" s="233"/>
      <c r="F293" s="233"/>
      <c r="G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  <c r="V293" s="233"/>
      <c r="W293" s="233"/>
      <c r="X293" s="233"/>
      <c r="Y293" s="233"/>
      <c r="Z293" s="233"/>
      <c r="AA293" s="233"/>
      <c r="AB293" s="233"/>
      <c r="AC293" s="233"/>
      <c r="AD293" s="233"/>
      <c r="AE293" s="233"/>
      <c r="AF293" s="233"/>
      <c r="AG293" s="233"/>
      <c r="AH293" s="233"/>
      <c r="AI293" s="233"/>
      <c r="AJ293" s="233"/>
      <c r="AK293" s="233"/>
      <c r="AL293" s="233"/>
      <c r="AM293" s="233"/>
      <c r="AN293" s="233"/>
      <c r="AO293" s="233"/>
      <c r="AP293" s="233"/>
      <c r="AQ293" s="233"/>
      <c r="AR293" s="233"/>
      <c r="AS293" s="233"/>
      <c r="AT293" s="233"/>
      <c r="AU293" s="233"/>
      <c r="AV293" s="233"/>
      <c r="AW293" s="233"/>
      <c r="AX293" s="233"/>
      <c r="AY293" s="233"/>
      <c r="AZ293" s="233"/>
      <c r="BA293" s="233"/>
      <c r="BB293" s="233"/>
      <c r="BC293" s="233"/>
    </row>
    <row r="294" spans="1:55" ht="19.5" customHeight="1">
      <c r="A294" s="233"/>
      <c r="B294" s="233"/>
      <c r="C294" s="233"/>
      <c r="D294" s="233"/>
      <c r="E294" s="233"/>
      <c r="F294" s="233"/>
      <c r="G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  <c r="V294" s="233"/>
      <c r="W294" s="233"/>
      <c r="X294" s="233"/>
      <c r="Y294" s="233"/>
      <c r="Z294" s="233"/>
      <c r="AA294" s="233"/>
      <c r="AB294" s="233"/>
      <c r="AC294" s="233"/>
      <c r="AD294" s="233"/>
      <c r="AE294" s="233"/>
      <c r="AF294" s="233"/>
      <c r="AG294" s="233"/>
      <c r="AH294" s="233"/>
      <c r="AI294" s="233"/>
      <c r="AJ294" s="233"/>
      <c r="AK294" s="233"/>
      <c r="AL294" s="233"/>
      <c r="AM294" s="233"/>
      <c r="AN294" s="233"/>
      <c r="AO294" s="233"/>
      <c r="AP294" s="233"/>
      <c r="AQ294" s="233"/>
      <c r="AR294" s="233"/>
      <c r="AS294" s="233"/>
      <c r="AT294" s="233"/>
      <c r="AU294" s="233"/>
      <c r="AV294" s="233"/>
      <c r="AW294" s="233"/>
      <c r="AX294" s="233"/>
      <c r="AY294" s="233"/>
      <c r="AZ294" s="233"/>
      <c r="BA294" s="233"/>
      <c r="BB294" s="233"/>
      <c r="BC294" s="233"/>
    </row>
    <row r="295" spans="1:55" ht="19.5" customHeight="1">
      <c r="A295" s="233"/>
      <c r="B295" s="233"/>
      <c r="C295" s="233"/>
      <c r="D295" s="233"/>
      <c r="E295" s="233"/>
      <c r="F295" s="233"/>
      <c r="G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  <c r="V295" s="233"/>
      <c r="W295" s="233"/>
      <c r="X295" s="233"/>
      <c r="Y295" s="233"/>
      <c r="Z295" s="233"/>
      <c r="AA295" s="233"/>
      <c r="AB295" s="233"/>
      <c r="AC295" s="233"/>
      <c r="AD295" s="233"/>
      <c r="AE295" s="233"/>
      <c r="AF295" s="233"/>
      <c r="AG295" s="233"/>
      <c r="AH295" s="233"/>
      <c r="AI295" s="233"/>
      <c r="AJ295" s="233"/>
      <c r="AK295" s="233"/>
      <c r="AL295" s="233"/>
      <c r="AM295" s="233"/>
      <c r="AN295" s="233"/>
      <c r="AO295" s="233"/>
      <c r="AP295" s="233"/>
      <c r="AQ295" s="233"/>
      <c r="AR295" s="233"/>
      <c r="AS295" s="233"/>
      <c r="AT295" s="233"/>
      <c r="AU295" s="233"/>
      <c r="AV295" s="233"/>
      <c r="AW295" s="233"/>
      <c r="AX295" s="233"/>
      <c r="AY295" s="233"/>
      <c r="AZ295" s="233"/>
      <c r="BA295" s="233"/>
      <c r="BB295" s="233"/>
      <c r="BC295" s="233"/>
    </row>
    <row r="296" spans="1:55" ht="19.5" customHeight="1">
      <c r="A296" s="233"/>
      <c r="B296" s="233"/>
      <c r="C296" s="233"/>
      <c r="D296" s="233"/>
      <c r="E296" s="233"/>
      <c r="F296" s="233"/>
      <c r="G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  <c r="V296" s="233"/>
      <c r="W296" s="233"/>
      <c r="X296" s="233"/>
      <c r="Y296" s="233"/>
      <c r="Z296" s="233"/>
      <c r="AA296" s="233"/>
      <c r="AB296" s="233"/>
      <c r="AC296" s="233"/>
      <c r="AD296" s="233"/>
      <c r="AE296" s="233"/>
      <c r="AF296" s="233"/>
      <c r="AG296" s="233"/>
      <c r="AH296" s="233"/>
      <c r="AI296" s="233"/>
      <c r="AJ296" s="233"/>
      <c r="AK296" s="233"/>
      <c r="AL296" s="233"/>
      <c r="AM296" s="233"/>
      <c r="AN296" s="233"/>
      <c r="AO296" s="233"/>
      <c r="AP296" s="233"/>
      <c r="AQ296" s="233"/>
      <c r="AR296" s="233"/>
      <c r="AS296" s="233"/>
      <c r="AT296" s="233"/>
      <c r="AU296" s="233"/>
      <c r="AV296" s="233"/>
      <c r="AW296" s="233"/>
      <c r="AX296" s="233"/>
      <c r="AY296" s="233"/>
      <c r="AZ296" s="233"/>
      <c r="BA296" s="233"/>
      <c r="BB296" s="233"/>
      <c r="BC296" s="233"/>
    </row>
    <row r="297" spans="1:55" ht="19.5" customHeight="1">
      <c r="A297" s="233"/>
      <c r="B297" s="233"/>
      <c r="C297" s="233"/>
      <c r="D297" s="233"/>
      <c r="E297" s="233"/>
      <c r="F297" s="233"/>
      <c r="G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  <c r="V297" s="233"/>
      <c r="W297" s="233"/>
      <c r="X297" s="233"/>
      <c r="Y297" s="233"/>
      <c r="Z297" s="233"/>
      <c r="AA297" s="233"/>
      <c r="AB297" s="233"/>
      <c r="AC297" s="233"/>
      <c r="AD297" s="233"/>
      <c r="AE297" s="233"/>
      <c r="AF297" s="233"/>
      <c r="AG297" s="233"/>
      <c r="AH297" s="233"/>
      <c r="AI297" s="233"/>
      <c r="AJ297" s="233"/>
      <c r="AK297" s="233"/>
      <c r="AL297" s="233"/>
      <c r="AM297" s="233"/>
      <c r="AN297" s="233"/>
      <c r="AO297" s="233"/>
      <c r="AP297" s="233"/>
      <c r="AQ297" s="233"/>
      <c r="AR297" s="233"/>
      <c r="AS297" s="233"/>
      <c r="AT297" s="233"/>
      <c r="AU297" s="233"/>
      <c r="AV297" s="233"/>
      <c r="AW297" s="233"/>
      <c r="AX297" s="233"/>
      <c r="AY297" s="233"/>
      <c r="AZ297" s="233"/>
      <c r="BA297" s="233"/>
      <c r="BB297" s="233"/>
      <c r="BC297" s="233"/>
    </row>
    <row r="298" spans="1:55" ht="19.5" customHeight="1">
      <c r="A298" s="233"/>
      <c r="B298" s="233"/>
      <c r="C298" s="233"/>
      <c r="D298" s="233"/>
      <c r="E298" s="233"/>
      <c r="F298" s="233"/>
      <c r="G298" s="233"/>
      <c r="H298" s="233"/>
      <c r="I298" s="233"/>
      <c r="J298" s="233"/>
      <c r="K298" s="233"/>
      <c r="L298" s="233"/>
      <c r="M298" s="233"/>
      <c r="N298" s="233"/>
      <c r="O298" s="233"/>
      <c r="P298" s="233"/>
      <c r="Q298" s="233"/>
      <c r="R298" s="233"/>
      <c r="S298" s="233"/>
      <c r="T298" s="233"/>
      <c r="U298" s="233"/>
      <c r="V298" s="233"/>
      <c r="W298" s="233"/>
      <c r="X298" s="233"/>
      <c r="Y298" s="233"/>
      <c r="Z298" s="233"/>
      <c r="AA298" s="233"/>
      <c r="AB298" s="233"/>
      <c r="AC298" s="233"/>
      <c r="AD298" s="233"/>
      <c r="AE298" s="233"/>
      <c r="AF298" s="233"/>
      <c r="AG298" s="233"/>
      <c r="AH298" s="233"/>
      <c r="AI298" s="233"/>
      <c r="AJ298" s="233"/>
      <c r="AK298" s="233"/>
      <c r="AL298" s="233"/>
      <c r="AM298" s="233"/>
      <c r="AN298" s="233"/>
      <c r="AO298" s="233"/>
      <c r="AP298" s="233"/>
      <c r="AQ298" s="233"/>
      <c r="AR298" s="233"/>
      <c r="AS298" s="233"/>
      <c r="AT298" s="233"/>
      <c r="AU298" s="233"/>
      <c r="AV298" s="233"/>
      <c r="AW298" s="233"/>
      <c r="AX298" s="233"/>
      <c r="AY298" s="233"/>
      <c r="AZ298" s="233"/>
      <c r="BA298" s="233"/>
      <c r="BB298" s="233"/>
      <c r="BC298" s="233"/>
    </row>
  </sheetData>
  <sheetProtection/>
  <mergeCells count="4">
    <mergeCell ref="O1:AQ1"/>
    <mergeCell ref="A3:B3"/>
    <mergeCell ref="A4:B4"/>
    <mergeCell ref="A5:B5"/>
  </mergeCells>
  <printOptions/>
  <pageMargins left="0.75" right="0.5" top="0.75" bottom="1" header="0.5" footer="0.5"/>
  <pageSetup fitToHeight="1" fitToWidth="1" orientation="landscape" scale="53" r:id="rId2"/>
  <headerFooter alignWithMargins="0">
    <oddHeader>&amp;RAppendix A</oddHeader>
    <oddFooter>&amp;LAcquisition Plan JAKKS&amp;R&amp;D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7"/>
  <sheetViews>
    <sheetView showGridLines="0" zoomScalePageLayoutView="0" workbookViewId="0" topLeftCell="A1">
      <selection activeCell="B2" sqref="B2"/>
    </sheetView>
  </sheetViews>
  <sheetFormatPr defaultColWidth="10.7109375" defaultRowHeight="19.5" customHeight="1"/>
  <cols>
    <col min="1" max="1" width="4.7109375" style="269" customWidth="1"/>
    <col min="2" max="2" width="40.7109375" style="270" customWidth="1"/>
    <col min="3" max="3" width="10.7109375" style="233" customWidth="1"/>
    <col min="4" max="4" width="17.7109375" style="233" customWidth="1"/>
    <col min="5" max="5" width="12.7109375" style="266" customWidth="1"/>
    <col min="6" max="6" width="10.7109375" style="266" customWidth="1"/>
    <col min="7" max="7" width="10.7109375" style="233" customWidth="1"/>
    <col min="8" max="8" width="3.57421875" style="271" customWidth="1"/>
    <col min="9" max="9" width="3.57421875" style="272" customWidth="1"/>
    <col min="10" max="10" width="3.57421875" style="273" customWidth="1"/>
    <col min="11" max="12" width="3.57421875" style="271" customWidth="1"/>
    <col min="13" max="13" width="3.57421875" style="272" customWidth="1"/>
    <col min="14" max="14" width="3.57421875" style="273" customWidth="1"/>
    <col min="15" max="16" width="3.57421875" style="271" customWidth="1"/>
    <col min="17" max="17" width="3.57421875" style="272" customWidth="1"/>
    <col min="18" max="18" width="3.57421875" style="273" customWidth="1"/>
    <col min="19" max="21" width="3.57421875" style="271" customWidth="1"/>
    <col min="22" max="22" width="3.57421875" style="272" customWidth="1"/>
    <col min="23" max="23" width="3.57421875" style="273" customWidth="1"/>
    <col min="24" max="25" width="3.57421875" style="271" customWidth="1"/>
    <col min="26" max="26" width="3.57421875" style="272" customWidth="1"/>
    <col min="27" max="27" width="3.57421875" style="273" customWidth="1"/>
    <col min="28" max="30" width="3.57421875" style="271" customWidth="1"/>
    <col min="31" max="31" width="3.57421875" style="272" customWidth="1"/>
    <col min="32" max="32" width="3.57421875" style="273" customWidth="1"/>
    <col min="33" max="34" width="3.57421875" style="271" customWidth="1"/>
    <col min="35" max="35" width="3.57421875" style="272" customWidth="1"/>
    <col min="36" max="36" width="3.57421875" style="273" customWidth="1"/>
    <col min="37" max="38" width="3.57421875" style="271" customWidth="1"/>
    <col min="39" max="39" width="3.57421875" style="272" customWidth="1"/>
    <col min="40" max="40" width="3.57421875" style="273" customWidth="1"/>
    <col min="41" max="43" width="3.57421875" style="271" customWidth="1"/>
    <col min="44" max="44" width="3.57421875" style="272" customWidth="1"/>
    <col min="45" max="45" width="3.57421875" style="273" customWidth="1"/>
    <col min="46" max="47" width="3.57421875" style="271" customWidth="1"/>
    <col min="48" max="48" width="3.57421875" style="272" customWidth="1"/>
    <col min="49" max="49" width="3.57421875" style="273" customWidth="1"/>
    <col min="50" max="52" width="3.57421875" style="271" customWidth="1"/>
    <col min="53" max="53" width="3.57421875" style="272" customWidth="1"/>
    <col min="54" max="16384" width="10.7109375" style="233" customWidth="1"/>
  </cols>
  <sheetData>
    <row r="1" spans="1:53" ht="19.5" customHeight="1" thickBot="1">
      <c r="A1" s="465" t="s">
        <v>577</v>
      </c>
      <c r="B1" s="466"/>
      <c r="C1" s="466"/>
      <c r="D1" s="466"/>
      <c r="E1" s="466"/>
      <c r="F1" s="466"/>
      <c r="H1" s="386"/>
      <c r="I1" s="383"/>
      <c r="J1" s="383"/>
      <c r="K1" s="386"/>
      <c r="L1" s="386"/>
      <c r="M1" s="383"/>
      <c r="N1" s="383"/>
      <c r="O1" s="386"/>
      <c r="P1" s="386"/>
      <c r="Q1" s="383"/>
      <c r="R1" s="383"/>
      <c r="S1" s="386"/>
      <c r="T1" s="386"/>
      <c r="U1" s="386"/>
      <c r="V1" s="383"/>
      <c r="W1" s="383"/>
      <c r="X1" s="386"/>
      <c r="Y1" s="386"/>
      <c r="Z1" s="383"/>
      <c r="AA1" s="383"/>
      <c r="AB1" s="386"/>
      <c r="AC1" s="386"/>
      <c r="AD1" s="386"/>
      <c r="AE1" s="383"/>
      <c r="AF1" s="383"/>
      <c r="AG1" s="386"/>
      <c r="AH1" s="386"/>
      <c r="AI1" s="383"/>
      <c r="AJ1" s="383"/>
      <c r="AK1" s="386"/>
      <c r="AL1" s="386"/>
      <c r="AM1" s="383"/>
      <c r="AN1" s="383"/>
      <c r="AO1" s="386"/>
      <c r="AP1" s="386"/>
      <c r="AQ1" s="386"/>
      <c r="AR1" s="383"/>
      <c r="AS1" s="383"/>
      <c r="AT1" s="386"/>
      <c r="AU1" s="386"/>
      <c r="AV1" s="383"/>
      <c r="AW1" s="383"/>
      <c r="AX1" s="386"/>
      <c r="AY1" s="386"/>
      <c r="AZ1" s="386"/>
      <c r="BA1" s="383"/>
    </row>
    <row r="2" spans="1:54" ht="19.5" customHeight="1">
      <c r="A2" s="227"/>
      <c r="B2" s="228"/>
      <c r="C2" s="229"/>
      <c r="D2" s="230"/>
      <c r="E2" s="231"/>
      <c r="F2" s="232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</row>
    <row r="3" spans="1:54" ht="19.5" customHeight="1" thickBot="1">
      <c r="A3" s="469" t="s">
        <v>576</v>
      </c>
      <c r="B3" s="464"/>
      <c r="C3" s="467" t="s">
        <v>329</v>
      </c>
      <c r="D3" s="468"/>
      <c r="E3" s="467" t="s">
        <v>332</v>
      </c>
      <c r="F3" s="468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4"/>
      <c r="AO3" s="234"/>
      <c r="AP3" s="234"/>
      <c r="AQ3" s="234"/>
      <c r="AR3" s="234"/>
      <c r="AS3" s="234"/>
      <c r="AT3" s="234"/>
      <c r="AU3" s="234"/>
      <c r="AV3" s="234"/>
      <c r="AW3" s="234"/>
      <c r="AX3" s="234"/>
      <c r="AY3" s="234"/>
      <c r="AZ3" s="234"/>
      <c r="BA3" s="234"/>
      <c r="BB3" s="234"/>
    </row>
    <row r="4" spans="1:54" ht="19.5" customHeight="1" thickBot="1">
      <c r="A4" s="463"/>
      <c r="B4" s="464"/>
      <c r="C4" s="236" t="s">
        <v>330</v>
      </c>
      <c r="D4" s="237" t="s">
        <v>331</v>
      </c>
      <c r="E4" s="470"/>
      <c r="F4" s="456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/>
      <c r="BA4" s="234"/>
      <c r="BB4" s="234"/>
    </row>
    <row r="5" spans="1:54" ht="19.5" customHeight="1">
      <c r="A5" s="238"/>
      <c r="B5" s="239" t="s">
        <v>333</v>
      </c>
      <c r="C5" s="477"/>
      <c r="D5" s="441"/>
      <c r="E5" s="441"/>
      <c r="F5" s="478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</row>
    <row r="6" spans="1:54" ht="19.5" customHeight="1">
      <c r="A6" s="240"/>
      <c r="B6" s="241" t="s">
        <v>334</v>
      </c>
      <c r="C6" s="242" t="s">
        <v>335</v>
      </c>
      <c r="D6" s="243">
        <v>0</v>
      </c>
      <c r="E6" s="471" t="s">
        <v>546</v>
      </c>
      <c r="F6" s="472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</row>
    <row r="7" spans="1:54" ht="19.5" customHeight="1" thickBot="1">
      <c r="A7" s="240"/>
      <c r="B7" s="244" t="s">
        <v>337</v>
      </c>
      <c r="C7" s="245" t="s">
        <v>335</v>
      </c>
      <c r="D7" s="246">
        <v>35808</v>
      </c>
      <c r="E7" s="473" t="s">
        <v>340</v>
      </c>
      <c r="F7" s="47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</row>
    <row r="8" spans="1:54" ht="19.5" customHeight="1">
      <c r="A8" s="240"/>
      <c r="B8" s="241" t="s">
        <v>339</v>
      </c>
      <c r="C8" s="242" t="s">
        <v>335</v>
      </c>
      <c r="D8" s="243">
        <v>35815</v>
      </c>
      <c r="E8" s="475" t="s">
        <v>340</v>
      </c>
      <c r="F8" s="476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</row>
    <row r="9" spans="1:54" ht="19.5" customHeight="1" thickBot="1">
      <c r="A9" s="240"/>
      <c r="B9" s="244" t="s">
        <v>341</v>
      </c>
      <c r="C9" s="245"/>
      <c r="D9" s="247"/>
      <c r="E9" s="479" t="s">
        <v>344</v>
      </c>
      <c r="F9" s="480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</row>
    <row r="10" spans="1:54" ht="19.5" customHeight="1">
      <c r="A10" s="240"/>
      <c r="B10" s="248" t="s">
        <v>342</v>
      </c>
      <c r="C10" s="242" t="s">
        <v>343</v>
      </c>
      <c r="D10" s="243">
        <v>35878</v>
      </c>
      <c r="E10" s="471" t="s">
        <v>579</v>
      </c>
      <c r="F10" s="472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4"/>
      <c r="AP10" s="234"/>
      <c r="AQ10" s="234"/>
      <c r="AR10" s="234"/>
      <c r="AS10" s="234"/>
      <c r="AT10" s="234"/>
      <c r="AU10" s="234"/>
      <c r="AV10" s="234"/>
      <c r="AW10" s="234"/>
      <c r="AX10" s="234"/>
      <c r="AY10" s="234"/>
      <c r="AZ10" s="234"/>
      <c r="BA10" s="234"/>
      <c r="BB10" s="234"/>
    </row>
    <row r="11" spans="1:54" ht="19.5" customHeight="1" thickBot="1">
      <c r="A11" s="240"/>
      <c r="B11" s="249" t="s">
        <v>345</v>
      </c>
      <c r="C11" s="245" t="s">
        <v>346</v>
      </c>
      <c r="D11" s="246">
        <v>35878</v>
      </c>
      <c r="E11" s="473" t="s">
        <v>344</v>
      </c>
      <c r="F11" s="47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  <c r="AN11" s="234"/>
      <c r="AO11" s="234"/>
      <c r="AP11" s="234"/>
      <c r="AQ11" s="234"/>
      <c r="AR11" s="234"/>
      <c r="AS11" s="234"/>
      <c r="AT11" s="234"/>
      <c r="AU11" s="234"/>
      <c r="AV11" s="234"/>
      <c r="AW11" s="234"/>
      <c r="AX11" s="234"/>
      <c r="AY11" s="234"/>
      <c r="AZ11" s="234"/>
      <c r="BA11" s="234"/>
      <c r="BB11" s="234"/>
    </row>
    <row r="12" spans="1:54" ht="19.5" customHeight="1">
      <c r="A12" s="240"/>
      <c r="B12" s="248" t="s">
        <v>347</v>
      </c>
      <c r="C12" s="242" t="s">
        <v>348</v>
      </c>
      <c r="D12" s="243">
        <v>35878</v>
      </c>
      <c r="E12" s="471" t="s">
        <v>336</v>
      </c>
      <c r="F12" s="472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  <c r="AN12" s="234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34"/>
      <c r="AZ12" s="234"/>
      <c r="BA12" s="234"/>
      <c r="BB12" s="234"/>
    </row>
    <row r="13" spans="1:54" ht="19.5" customHeight="1" thickBot="1">
      <c r="A13" s="240"/>
      <c r="B13" s="249" t="s">
        <v>349</v>
      </c>
      <c r="C13" s="245" t="s">
        <v>343</v>
      </c>
      <c r="D13" s="246">
        <v>35878</v>
      </c>
      <c r="E13" s="473" t="s">
        <v>547</v>
      </c>
      <c r="F13" s="47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  <c r="AN13" s="234"/>
      <c r="AO13" s="234"/>
      <c r="AP13" s="234"/>
      <c r="AQ13" s="234"/>
      <c r="AR13" s="234"/>
      <c r="AS13" s="234"/>
      <c r="AT13" s="234"/>
      <c r="AU13" s="234"/>
      <c r="AV13" s="234"/>
      <c r="AW13" s="234"/>
      <c r="AX13" s="234"/>
      <c r="AY13" s="234"/>
      <c r="AZ13" s="234"/>
      <c r="BA13" s="234"/>
      <c r="BB13" s="234"/>
    </row>
    <row r="14" spans="1:54" ht="19.5" customHeight="1">
      <c r="A14" s="240"/>
      <c r="B14" s="248" t="s">
        <v>580</v>
      </c>
      <c r="C14" s="242" t="s">
        <v>343</v>
      </c>
      <c r="D14" s="243">
        <v>35878</v>
      </c>
      <c r="E14" s="471" t="s">
        <v>338</v>
      </c>
      <c r="F14" s="472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4"/>
      <c r="BA14" s="234"/>
      <c r="BB14" s="234"/>
    </row>
    <row r="15" spans="1:54" ht="19.5" customHeight="1" thickBot="1">
      <c r="A15" s="240"/>
      <c r="B15" s="250" t="s">
        <v>418</v>
      </c>
      <c r="C15" s="245" t="s">
        <v>350</v>
      </c>
      <c r="D15" s="246">
        <v>35878</v>
      </c>
      <c r="E15" s="473" t="s">
        <v>578</v>
      </c>
      <c r="F15" s="47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  <c r="AN15" s="234"/>
      <c r="AO15" s="234"/>
      <c r="AP15" s="234"/>
      <c r="AQ15" s="234"/>
      <c r="AR15" s="234"/>
      <c r="AS15" s="234"/>
      <c r="AT15" s="234"/>
      <c r="AU15" s="234"/>
      <c r="AV15" s="234"/>
      <c r="AW15" s="234"/>
      <c r="AX15" s="234"/>
      <c r="AY15" s="234"/>
      <c r="AZ15" s="234"/>
      <c r="BA15" s="234"/>
      <c r="BB15" s="234"/>
    </row>
    <row r="16" spans="1:54" ht="19.5" customHeight="1">
      <c r="A16" s="240"/>
      <c r="B16" s="241" t="s">
        <v>351</v>
      </c>
      <c r="C16" s="242" t="s">
        <v>343</v>
      </c>
      <c r="D16" s="243">
        <v>35878</v>
      </c>
      <c r="E16" s="481" t="s">
        <v>338</v>
      </c>
      <c r="F16" s="482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  <c r="AN16" s="234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34"/>
      <c r="AZ16" s="234"/>
      <c r="BA16" s="234"/>
      <c r="BB16" s="234"/>
    </row>
    <row r="17" spans="1:54" ht="19.5" customHeight="1" thickBot="1">
      <c r="A17" s="251"/>
      <c r="B17" s="252" t="s">
        <v>352</v>
      </c>
      <c r="C17" s="253" t="s">
        <v>335</v>
      </c>
      <c r="D17" s="254">
        <v>35892</v>
      </c>
      <c r="E17" s="485" t="s">
        <v>338</v>
      </c>
      <c r="F17" s="486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</row>
    <row r="18" spans="1:54" ht="19.5" customHeight="1">
      <c r="A18" s="238"/>
      <c r="B18" s="239" t="s">
        <v>353</v>
      </c>
      <c r="C18" s="487"/>
      <c r="D18" s="441"/>
      <c r="E18" s="441"/>
      <c r="F18" s="478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</row>
    <row r="19" spans="1:54" ht="19.5" customHeight="1">
      <c r="A19" s="240"/>
      <c r="B19" s="241" t="s">
        <v>354</v>
      </c>
      <c r="C19" s="242"/>
      <c r="D19" s="255"/>
      <c r="E19" s="471" t="s">
        <v>336</v>
      </c>
      <c r="F19" s="472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</row>
    <row r="20" spans="1:54" ht="19.5" customHeight="1" thickBot="1">
      <c r="A20" s="240"/>
      <c r="B20" s="249" t="s">
        <v>355</v>
      </c>
      <c r="C20" s="245" t="s">
        <v>356</v>
      </c>
      <c r="D20" s="246">
        <v>35976</v>
      </c>
      <c r="E20" s="473" t="s">
        <v>548</v>
      </c>
      <c r="F20" s="47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</row>
    <row r="21" spans="1:54" ht="19.5" customHeight="1">
      <c r="A21" s="240"/>
      <c r="B21" s="241" t="s">
        <v>357</v>
      </c>
      <c r="C21" s="242" t="s">
        <v>356</v>
      </c>
      <c r="D21" s="243">
        <v>35976</v>
      </c>
      <c r="E21" s="481" t="s">
        <v>336</v>
      </c>
      <c r="F21" s="482"/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</row>
    <row r="22" spans="1:54" ht="19.5" customHeight="1" thickBot="1">
      <c r="A22" s="240"/>
      <c r="B22" s="244" t="s">
        <v>358</v>
      </c>
      <c r="C22" s="245"/>
      <c r="D22" s="247"/>
      <c r="E22" s="479" t="s">
        <v>336</v>
      </c>
      <c r="F22" s="480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234"/>
      <c r="BB22" s="234"/>
    </row>
    <row r="23" spans="1:54" ht="19.5" customHeight="1">
      <c r="A23" s="240"/>
      <c r="B23" s="256" t="s">
        <v>359</v>
      </c>
      <c r="C23" s="242" t="s">
        <v>356</v>
      </c>
      <c r="D23" s="243">
        <v>35976</v>
      </c>
      <c r="E23" s="471" t="s">
        <v>336</v>
      </c>
      <c r="F23" s="472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O23" s="234"/>
      <c r="AP23" s="234"/>
      <c r="AQ23" s="234"/>
      <c r="AR23" s="234"/>
      <c r="AS23" s="234"/>
      <c r="AT23" s="234"/>
      <c r="AU23" s="234"/>
      <c r="AV23" s="234"/>
      <c r="AW23" s="234"/>
      <c r="AX23" s="234"/>
      <c r="AY23" s="234"/>
      <c r="AZ23" s="234"/>
      <c r="BA23" s="234"/>
      <c r="BB23" s="234"/>
    </row>
    <row r="24" spans="1:54" ht="19.5" customHeight="1" thickBot="1">
      <c r="A24" s="240"/>
      <c r="B24" s="249" t="s">
        <v>360</v>
      </c>
      <c r="C24" s="245" t="s">
        <v>356</v>
      </c>
      <c r="D24" s="246">
        <v>35976</v>
      </c>
      <c r="E24" s="473" t="s">
        <v>336</v>
      </c>
      <c r="F24" s="47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  <c r="AN24" s="234"/>
      <c r="AO24" s="234"/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</row>
    <row r="25" spans="1:54" ht="19.5" customHeight="1">
      <c r="A25" s="240"/>
      <c r="B25" s="248" t="s">
        <v>361</v>
      </c>
      <c r="C25" s="242" t="s">
        <v>356</v>
      </c>
      <c r="D25" s="243">
        <v>35976</v>
      </c>
      <c r="E25" s="471" t="s">
        <v>336</v>
      </c>
      <c r="F25" s="472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</row>
    <row r="26" spans="1:54" ht="19.5" customHeight="1" thickBot="1">
      <c r="A26" s="240"/>
      <c r="B26" s="257" t="s">
        <v>362</v>
      </c>
      <c r="C26" s="245" t="s">
        <v>356</v>
      </c>
      <c r="D26" s="246">
        <v>35976</v>
      </c>
      <c r="E26" s="473" t="s">
        <v>336</v>
      </c>
      <c r="F26" s="47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</row>
    <row r="27" spans="1:54" ht="19.5" customHeight="1">
      <c r="A27" s="240"/>
      <c r="B27" s="241" t="s">
        <v>363</v>
      </c>
      <c r="C27" s="242" t="s">
        <v>364</v>
      </c>
      <c r="D27" s="243">
        <v>36011</v>
      </c>
      <c r="E27" s="471" t="s">
        <v>365</v>
      </c>
      <c r="F27" s="472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</row>
    <row r="28" spans="1:54" ht="19.5" customHeight="1" thickBot="1">
      <c r="A28" s="240"/>
      <c r="B28" s="244" t="s">
        <v>366</v>
      </c>
      <c r="C28" s="245" t="s">
        <v>364</v>
      </c>
      <c r="D28" s="247"/>
      <c r="E28" s="473" t="s">
        <v>365</v>
      </c>
      <c r="F28" s="47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4"/>
      <c r="AR28" s="234"/>
      <c r="AS28" s="234"/>
      <c r="AT28" s="234"/>
      <c r="AU28" s="234"/>
      <c r="AV28" s="234"/>
      <c r="AW28" s="234"/>
      <c r="AX28" s="234"/>
      <c r="AY28" s="234"/>
      <c r="AZ28" s="234"/>
      <c r="BA28" s="234"/>
      <c r="BB28" s="234"/>
    </row>
    <row r="29" spans="1:54" ht="19.5" customHeight="1">
      <c r="A29" s="240"/>
      <c r="B29" s="241" t="s">
        <v>367</v>
      </c>
      <c r="C29" s="242"/>
      <c r="D29" s="258"/>
      <c r="E29" s="471" t="s">
        <v>549</v>
      </c>
      <c r="F29" s="472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</row>
    <row r="30" spans="1:54" ht="19.5" customHeight="1" thickBot="1">
      <c r="A30" s="240"/>
      <c r="B30" s="249" t="s">
        <v>368</v>
      </c>
      <c r="C30" s="245" t="s">
        <v>369</v>
      </c>
      <c r="D30" s="259" t="s">
        <v>370</v>
      </c>
      <c r="E30" s="473" t="s">
        <v>549</v>
      </c>
      <c r="F30" s="47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</row>
    <row r="31" spans="1:54" ht="19.5" customHeight="1">
      <c r="A31" s="240"/>
      <c r="B31" s="248" t="s">
        <v>372</v>
      </c>
      <c r="C31" s="242" t="s">
        <v>369</v>
      </c>
      <c r="D31" s="390" t="s">
        <v>370</v>
      </c>
      <c r="E31" s="488" t="s">
        <v>371</v>
      </c>
      <c r="F31" s="489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</row>
    <row r="32" spans="1:54" ht="19.5" customHeight="1" thickBot="1">
      <c r="A32" s="240"/>
      <c r="B32" s="249" t="s">
        <v>373</v>
      </c>
      <c r="C32" s="245" t="s">
        <v>343</v>
      </c>
      <c r="D32" s="259"/>
      <c r="E32" s="483" t="s">
        <v>371</v>
      </c>
      <c r="F32" s="48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34"/>
      <c r="AZ32" s="234"/>
      <c r="BA32" s="234"/>
      <c r="BB32" s="234"/>
    </row>
    <row r="33" spans="1:54" ht="19.5" customHeight="1" thickBot="1">
      <c r="A33" s="251"/>
      <c r="B33" s="260" t="s">
        <v>374</v>
      </c>
      <c r="C33" s="261" t="s">
        <v>375</v>
      </c>
      <c r="D33" s="262">
        <v>36011</v>
      </c>
      <c r="E33" s="483" t="s">
        <v>371</v>
      </c>
      <c r="F33" s="48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4"/>
      <c r="BB33" s="234"/>
    </row>
    <row r="34" spans="1:54" ht="19.5" customHeight="1">
      <c r="A34" s="263"/>
      <c r="B34" s="264"/>
      <c r="C34" s="265"/>
      <c r="D34" s="265"/>
      <c r="E34" s="267"/>
      <c r="F34" s="267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234"/>
    </row>
    <row r="35" spans="5:6" s="234" customFormat="1" ht="19.5" customHeight="1">
      <c r="E35" s="267"/>
      <c r="F35" s="267"/>
    </row>
    <row r="36" spans="5:6" s="234" customFormat="1" ht="19.5" customHeight="1">
      <c r="E36" s="267"/>
      <c r="F36" s="267"/>
    </row>
    <row r="37" spans="5:6" s="234" customFormat="1" ht="19.5" customHeight="1">
      <c r="E37" s="267"/>
      <c r="F37" s="267"/>
    </row>
    <row r="38" spans="5:6" s="234" customFormat="1" ht="19.5" customHeight="1">
      <c r="E38" s="267"/>
      <c r="F38" s="267"/>
    </row>
    <row r="39" spans="5:6" s="234" customFormat="1" ht="19.5" customHeight="1">
      <c r="E39" s="267"/>
      <c r="F39" s="267"/>
    </row>
    <row r="40" spans="5:6" s="234" customFormat="1" ht="19.5" customHeight="1">
      <c r="E40" s="267"/>
      <c r="F40" s="267"/>
    </row>
    <row r="41" spans="5:6" s="234" customFormat="1" ht="19.5" customHeight="1">
      <c r="E41" s="267"/>
      <c r="F41" s="267"/>
    </row>
    <row r="42" spans="5:6" s="234" customFormat="1" ht="19.5" customHeight="1">
      <c r="E42" s="267"/>
      <c r="F42" s="267"/>
    </row>
    <row r="43" spans="5:6" s="234" customFormat="1" ht="19.5" customHeight="1">
      <c r="E43" s="267"/>
      <c r="F43" s="267"/>
    </row>
    <row r="44" spans="5:6" s="234" customFormat="1" ht="19.5" customHeight="1">
      <c r="E44" s="267"/>
      <c r="F44" s="267"/>
    </row>
    <row r="45" spans="5:6" s="234" customFormat="1" ht="19.5" customHeight="1">
      <c r="E45" s="267"/>
      <c r="F45" s="267"/>
    </row>
    <row r="46" spans="5:6" s="234" customFormat="1" ht="19.5" customHeight="1">
      <c r="E46" s="267"/>
      <c r="F46" s="267"/>
    </row>
    <row r="47" spans="5:6" s="234" customFormat="1" ht="19.5" customHeight="1">
      <c r="E47" s="267"/>
      <c r="F47" s="267"/>
    </row>
    <row r="48" spans="5:6" s="234" customFormat="1" ht="19.5" customHeight="1">
      <c r="E48" s="267"/>
      <c r="F48" s="267"/>
    </row>
    <row r="49" spans="5:6" s="234" customFormat="1" ht="19.5" customHeight="1">
      <c r="E49" s="266"/>
      <c r="F49" s="266"/>
    </row>
    <row r="50" spans="1:53" ht="19.5" customHeight="1">
      <c r="A50" s="263"/>
      <c r="B50" s="268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</row>
    <row r="51" spans="1:53" ht="19.5" customHeight="1">
      <c r="A51" s="263"/>
      <c r="B51" s="268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</row>
    <row r="52" spans="1:53" ht="19.5" customHeight="1">
      <c r="A52" s="268"/>
      <c r="B52" s="268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</row>
    <row r="53" spans="1:53" ht="19.5" customHeight="1">
      <c r="A53" s="233"/>
      <c r="B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</row>
    <row r="54" spans="1:53" ht="19.5" customHeight="1">
      <c r="A54" s="233"/>
      <c r="B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</row>
    <row r="55" spans="1:53" ht="19.5" customHeight="1">
      <c r="A55" s="233"/>
      <c r="B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</row>
    <row r="56" spans="1:53" ht="19.5" customHeight="1">
      <c r="A56" s="233"/>
      <c r="B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</row>
    <row r="57" spans="1:53" ht="19.5" customHeight="1">
      <c r="A57" s="233"/>
      <c r="B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</row>
    <row r="58" spans="1:53" ht="19.5" customHeight="1">
      <c r="A58" s="233"/>
      <c r="B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</row>
    <row r="59" spans="1:53" ht="19.5" customHeight="1">
      <c r="A59" s="233"/>
      <c r="B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</row>
    <row r="60" spans="1:53" ht="19.5" customHeight="1">
      <c r="A60" s="233"/>
      <c r="B60" s="233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</row>
    <row r="61" spans="1:53" ht="19.5" customHeight="1">
      <c r="A61" s="233"/>
      <c r="B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</row>
    <row r="62" spans="1:53" ht="19.5" customHeight="1">
      <c r="A62" s="233"/>
      <c r="B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</row>
    <row r="63" spans="1:53" ht="19.5" customHeight="1">
      <c r="A63" s="233"/>
      <c r="B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</row>
    <row r="64" spans="1:53" ht="19.5" customHeight="1">
      <c r="A64" s="233"/>
      <c r="B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</row>
    <row r="65" spans="1:53" ht="19.5" customHeight="1">
      <c r="A65" s="233"/>
      <c r="B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</row>
    <row r="66" spans="1:53" ht="19.5" customHeight="1">
      <c r="A66" s="233"/>
      <c r="B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</row>
    <row r="67" spans="1:53" ht="19.5" customHeight="1">
      <c r="A67" s="233"/>
      <c r="B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</row>
    <row r="68" spans="1:53" ht="19.5" customHeight="1">
      <c r="A68" s="233"/>
      <c r="B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</row>
    <row r="69" spans="1:53" ht="19.5" customHeight="1">
      <c r="A69" s="233"/>
      <c r="B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</row>
    <row r="70" spans="1:53" ht="19.5" customHeight="1">
      <c r="A70" s="233"/>
      <c r="B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</row>
    <row r="71" spans="1:53" ht="19.5" customHeight="1">
      <c r="A71" s="233"/>
      <c r="B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</row>
    <row r="72" spans="1:53" ht="19.5" customHeight="1">
      <c r="A72" s="233"/>
      <c r="B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</row>
    <row r="73" spans="1:53" ht="19.5" customHeight="1">
      <c r="A73" s="233"/>
      <c r="B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</row>
    <row r="74" spans="1:53" ht="19.5" customHeight="1">
      <c r="A74" s="233"/>
      <c r="B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</row>
    <row r="75" spans="1:53" ht="19.5" customHeight="1">
      <c r="A75" s="233"/>
      <c r="B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</row>
    <row r="76" spans="1:53" ht="19.5" customHeight="1">
      <c r="A76" s="233"/>
      <c r="B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</row>
    <row r="77" spans="1:53" ht="19.5" customHeight="1">
      <c r="A77" s="233"/>
      <c r="B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</row>
    <row r="78" spans="1:53" ht="19.5" customHeight="1">
      <c r="A78" s="233"/>
      <c r="B78" s="233"/>
      <c r="H78" s="233"/>
      <c r="I78" s="233"/>
      <c r="J78" s="233"/>
      <c r="K78" s="233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</row>
    <row r="79" spans="1:53" ht="19.5" customHeight="1">
      <c r="A79" s="233"/>
      <c r="B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3"/>
      <c r="V79" s="233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33"/>
      <c r="AK79" s="233"/>
      <c r="AL79" s="233"/>
      <c r="AM79" s="233"/>
      <c r="AN79" s="233"/>
      <c r="AO79" s="233"/>
      <c r="AP79" s="233"/>
      <c r="AQ79" s="233"/>
      <c r="AR79" s="233"/>
      <c r="AS79" s="233"/>
      <c r="AT79" s="233"/>
      <c r="AU79" s="233"/>
      <c r="AV79" s="233"/>
      <c r="AW79" s="233"/>
      <c r="AX79" s="233"/>
      <c r="AY79" s="233"/>
      <c r="AZ79" s="233"/>
      <c r="BA79" s="233"/>
    </row>
    <row r="80" spans="1:53" ht="19.5" customHeight="1">
      <c r="A80" s="233"/>
      <c r="B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3"/>
      <c r="AP80" s="233"/>
      <c r="AQ80" s="233"/>
      <c r="AR80" s="233"/>
      <c r="AS80" s="233"/>
      <c r="AT80" s="233"/>
      <c r="AU80" s="233"/>
      <c r="AV80" s="233"/>
      <c r="AW80" s="233"/>
      <c r="AX80" s="233"/>
      <c r="AY80" s="233"/>
      <c r="AZ80" s="233"/>
      <c r="BA80" s="233"/>
    </row>
    <row r="81" spans="1:53" ht="19.5" customHeight="1">
      <c r="A81" s="233"/>
      <c r="B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  <c r="AQ81" s="233"/>
      <c r="AR81" s="233"/>
      <c r="AS81" s="233"/>
      <c r="AT81" s="233"/>
      <c r="AU81" s="233"/>
      <c r="AV81" s="233"/>
      <c r="AW81" s="233"/>
      <c r="AX81" s="233"/>
      <c r="AY81" s="233"/>
      <c r="AZ81" s="233"/>
      <c r="BA81" s="233"/>
    </row>
    <row r="82" spans="1:53" ht="19.5" customHeight="1">
      <c r="A82" s="233"/>
      <c r="B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233"/>
      <c r="W82" s="233"/>
      <c r="X82" s="233"/>
      <c r="Y82" s="233"/>
      <c r="Z82" s="233"/>
      <c r="AA82" s="233"/>
      <c r="AB82" s="233"/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  <c r="AU82" s="233"/>
      <c r="AV82" s="233"/>
      <c r="AW82" s="233"/>
      <c r="AX82" s="233"/>
      <c r="AY82" s="233"/>
      <c r="AZ82" s="233"/>
      <c r="BA82" s="233"/>
    </row>
    <row r="83" spans="1:53" ht="19.5" customHeight="1">
      <c r="A83" s="233"/>
      <c r="B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33"/>
      <c r="AR83" s="233"/>
      <c r="AS83" s="233"/>
      <c r="AT83" s="233"/>
      <c r="AU83" s="233"/>
      <c r="AV83" s="233"/>
      <c r="AW83" s="233"/>
      <c r="AX83" s="233"/>
      <c r="AY83" s="233"/>
      <c r="AZ83" s="233"/>
      <c r="BA83" s="233"/>
    </row>
    <row r="84" spans="1:53" ht="19.5" customHeight="1">
      <c r="A84" s="233"/>
      <c r="B84" s="233"/>
      <c r="H84" s="233"/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233"/>
      <c r="W84" s="233"/>
      <c r="X84" s="233"/>
      <c r="Y84" s="233"/>
      <c r="Z84" s="233"/>
      <c r="AA84" s="233"/>
      <c r="AB84" s="233"/>
      <c r="AC84" s="233"/>
      <c r="AD84" s="233"/>
      <c r="AE84" s="233"/>
      <c r="AF84" s="233"/>
      <c r="AG84" s="233"/>
      <c r="AH84" s="233"/>
      <c r="AI84" s="233"/>
      <c r="AJ84" s="233"/>
      <c r="AK84" s="233"/>
      <c r="AL84" s="233"/>
      <c r="AM84" s="233"/>
      <c r="AN84" s="233"/>
      <c r="AO84" s="233"/>
      <c r="AP84" s="233"/>
      <c r="AQ84" s="233"/>
      <c r="AR84" s="233"/>
      <c r="AS84" s="233"/>
      <c r="AT84" s="233"/>
      <c r="AU84" s="233"/>
      <c r="AV84" s="233"/>
      <c r="AW84" s="233"/>
      <c r="AX84" s="233"/>
      <c r="AY84" s="233"/>
      <c r="AZ84" s="233"/>
      <c r="BA84" s="233"/>
    </row>
    <row r="85" spans="1:53" ht="19.5" customHeight="1">
      <c r="A85" s="233"/>
      <c r="B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233"/>
      <c r="W85" s="233"/>
      <c r="X85" s="233"/>
      <c r="Y85" s="233"/>
      <c r="Z85" s="233"/>
      <c r="AA85" s="233"/>
      <c r="AB85" s="233"/>
      <c r="AC85" s="233"/>
      <c r="AD85" s="233"/>
      <c r="AE85" s="233"/>
      <c r="AF85" s="233"/>
      <c r="AG85" s="233"/>
      <c r="AH85" s="233"/>
      <c r="AI85" s="233"/>
      <c r="AJ85" s="233"/>
      <c r="AK85" s="233"/>
      <c r="AL85" s="233"/>
      <c r="AM85" s="233"/>
      <c r="AN85" s="233"/>
      <c r="AO85" s="233"/>
      <c r="AP85" s="233"/>
      <c r="AQ85" s="233"/>
      <c r="AR85" s="233"/>
      <c r="AS85" s="233"/>
      <c r="AT85" s="233"/>
      <c r="AU85" s="233"/>
      <c r="AV85" s="233"/>
      <c r="AW85" s="233"/>
      <c r="AX85" s="233"/>
      <c r="AY85" s="233"/>
      <c r="AZ85" s="233"/>
      <c r="BA85" s="233"/>
    </row>
    <row r="86" spans="1:53" ht="19.5" customHeight="1">
      <c r="A86" s="233"/>
      <c r="B86" s="233"/>
      <c r="H86" s="233"/>
      <c r="I86" s="233"/>
      <c r="J86" s="233"/>
      <c r="K86" s="233"/>
      <c r="L86" s="233"/>
      <c r="M86" s="233"/>
      <c r="N86" s="233"/>
      <c r="O86" s="233"/>
      <c r="P86" s="233"/>
      <c r="Q86" s="233"/>
      <c r="R86" s="233"/>
      <c r="S86" s="233"/>
      <c r="T86" s="233"/>
      <c r="U86" s="233"/>
      <c r="V86" s="233"/>
      <c r="W86" s="233"/>
      <c r="X86" s="233"/>
      <c r="Y86" s="233"/>
      <c r="Z86" s="233"/>
      <c r="AA86" s="233"/>
      <c r="AB86" s="233"/>
      <c r="AC86" s="233"/>
      <c r="AD86" s="233"/>
      <c r="AE86" s="233"/>
      <c r="AF86" s="233"/>
      <c r="AG86" s="233"/>
      <c r="AH86" s="233"/>
      <c r="AI86" s="233"/>
      <c r="AJ86" s="233"/>
      <c r="AK86" s="233"/>
      <c r="AL86" s="233"/>
      <c r="AM86" s="233"/>
      <c r="AN86" s="233"/>
      <c r="AO86" s="233"/>
      <c r="AP86" s="233"/>
      <c r="AQ86" s="233"/>
      <c r="AR86" s="233"/>
      <c r="AS86" s="233"/>
      <c r="AT86" s="233"/>
      <c r="AU86" s="233"/>
      <c r="AV86" s="233"/>
      <c r="AW86" s="233"/>
      <c r="AX86" s="233"/>
      <c r="AY86" s="233"/>
      <c r="AZ86" s="233"/>
      <c r="BA86" s="233"/>
    </row>
    <row r="87" spans="1:53" ht="19.5" customHeight="1">
      <c r="A87" s="233"/>
      <c r="B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Z87" s="233"/>
      <c r="AA87" s="233"/>
      <c r="AB87" s="233"/>
      <c r="AC87" s="233"/>
      <c r="AD87" s="233"/>
      <c r="AE87" s="233"/>
      <c r="AF87" s="233"/>
      <c r="AG87" s="233"/>
      <c r="AH87" s="233"/>
      <c r="AI87" s="233"/>
      <c r="AJ87" s="233"/>
      <c r="AK87" s="233"/>
      <c r="AL87" s="233"/>
      <c r="AM87" s="233"/>
      <c r="AN87" s="233"/>
      <c r="AO87" s="233"/>
      <c r="AP87" s="233"/>
      <c r="AQ87" s="233"/>
      <c r="AR87" s="233"/>
      <c r="AS87" s="233"/>
      <c r="AT87" s="233"/>
      <c r="AU87" s="233"/>
      <c r="AV87" s="233"/>
      <c r="AW87" s="233"/>
      <c r="AX87" s="233"/>
      <c r="AY87" s="233"/>
      <c r="AZ87" s="233"/>
      <c r="BA87" s="233"/>
    </row>
    <row r="88" spans="1:53" ht="19.5" customHeight="1">
      <c r="A88" s="233"/>
      <c r="B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3"/>
      <c r="AH88" s="233"/>
      <c r="AI88" s="233"/>
      <c r="AJ88" s="233"/>
      <c r="AK88" s="233"/>
      <c r="AL88" s="233"/>
      <c r="AM88" s="233"/>
      <c r="AN88" s="233"/>
      <c r="AO88" s="233"/>
      <c r="AP88" s="233"/>
      <c r="AQ88" s="233"/>
      <c r="AR88" s="233"/>
      <c r="AS88" s="233"/>
      <c r="AT88" s="233"/>
      <c r="AU88" s="233"/>
      <c r="AV88" s="233"/>
      <c r="AW88" s="233"/>
      <c r="AX88" s="233"/>
      <c r="AY88" s="233"/>
      <c r="AZ88" s="233"/>
      <c r="BA88" s="233"/>
    </row>
    <row r="89" spans="1:53" ht="19.5" customHeight="1">
      <c r="A89" s="233"/>
      <c r="B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3"/>
      <c r="AH89" s="233"/>
      <c r="AI89" s="233"/>
      <c r="AJ89" s="233"/>
      <c r="AK89" s="233"/>
      <c r="AL89" s="233"/>
      <c r="AM89" s="233"/>
      <c r="AN89" s="233"/>
      <c r="AO89" s="233"/>
      <c r="AP89" s="233"/>
      <c r="AQ89" s="233"/>
      <c r="AR89" s="233"/>
      <c r="AS89" s="233"/>
      <c r="AT89" s="233"/>
      <c r="AU89" s="233"/>
      <c r="AV89" s="233"/>
      <c r="AW89" s="233"/>
      <c r="AX89" s="233"/>
      <c r="AY89" s="233"/>
      <c r="AZ89" s="233"/>
      <c r="BA89" s="233"/>
    </row>
    <row r="90" spans="1:53" ht="19.5" customHeight="1">
      <c r="A90" s="233"/>
      <c r="B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3"/>
      <c r="AH90" s="233"/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  <c r="AY90" s="233"/>
      <c r="AZ90" s="233"/>
      <c r="BA90" s="233"/>
    </row>
    <row r="91" spans="1:53" ht="19.5" customHeight="1">
      <c r="A91" s="233"/>
      <c r="B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  <c r="AY91" s="233"/>
      <c r="AZ91" s="233"/>
      <c r="BA91" s="233"/>
    </row>
    <row r="92" spans="1:53" ht="19.5" customHeight="1">
      <c r="A92" s="233"/>
      <c r="B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  <c r="AY92" s="233"/>
      <c r="AZ92" s="233"/>
      <c r="BA92" s="233"/>
    </row>
    <row r="93" spans="1:53" ht="19.5" customHeight="1">
      <c r="A93" s="233"/>
      <c r="B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</row>
    <row r="94" spans="1:53" ht="19.5" customHeight="1">
      <c r="A94" s="233"/>
      <c r="B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</row>
    <row r="95" spans="1:53" ht="19.5" customHeight="1">
      <c r="A95" s="233"/>
      <c r="B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</row>
    <row r="96" spans="1:53" ht="19.5" customHeight="1">
      <c r="A96" s="233"/>
      <c r="B96" s="233"/>
      <c r="H96" s="233"/>
      <c r="I96" s="233"/>
      <c r="J96" s="233"/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3"/>
      <c r="AH96" s="233"/>
      <c r="AI96" s="233"/>
      <c r="AJ96" s="233"/>
      <c r="AK96" s="233"/>
      <c r="AL96" s="233"/>
      <c r="AM96" s="233"/>
      <c r="AN96" s="233"/>
      <c r="AO96" s="233"/>
      <c r="AP96" s="233"/>
      <c r="AQ96" s="233"/>
      <c r="AR96" s="233"/>
      <c r="AS96" s="233"/>
      <c r="AT96" s="233"/>
      <c r="AU96" s="233"/>
      <c r="AV96" s="233"/>
      <c r="AW96" s="233"/>
      <c r="AX96" s="233"/>
      <c r="AY96" s="233"/>
      <c r="AZ96" s="233"/>
      <c r="BA96" s="233"/>
    </row>
    <row r="97" spans="1:53" ht="19.5" customHeight="1">
      <c r="A97" s="233"/>
      <c r="B97" s="233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  <c r="AY97" s="233"/>
      <c r="AZ97" s="233"/>
      <c r="BA97" s="233"/>
    </row>
    <row r="98" spans="1:53" ht="19.5" customHeight="1">
      <c r="A98" s="233"/>
      <c r="B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  <c r="AY98" s="233"/>
      <c r="AZ98" s="233"/>
      <c r="BA98" s="233"/>
    </row>
    <row r="99" spans="1:53" ht="19.5" customHeight="1">
      <c r="A99" s="233"/>
      <c r="B99" s="233"/>
      <c r="H99" s="233"/>
      <c r="I99" s="233"/>
      <c r="J99" s="233"/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3"/>
      <c r="AH99" s="233"/>
      <c r="AI99" s="233"/>
      <c r="AJ99" s="233"/>
      <c r="AK99" s="233"/>
      <c r="AL99" s="233"/>
      <c r="AM99" s="233"/>
      <c r="AN99" s="233"/>
      <c r="AO99" s="233"/>
      <c r="AP99" s="233"/>
      <c r="AQ99" s="233"/>
      <c r="AR99" s="233"/>
      <c r="AS99" s="233"/>
      <c r="AT99" s="233"/>
      <c r="AU99" s="233"/>
      <c r="AV99" s="233"/>
      <c r="AW99" s="233"/>
      <c r="AX99" s="233"/>
      <c r="AY99" s="233"/>
      <c r="AZ99" s="233"/>
      <c r="BA99" s="233"/>
    </row>
    <row r="100" spans="1:53" ht="19.5" customHeight="1">
      <c r="A100" s="233"/>
      <c r="B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  <c r="AU100" s="233"/>
      <c r="AV100" s="233"/>
      <c r="AW100" s="233"/>
      <c r="AX100" s="233"/>
      <c r="AY100" s="233"/>
      <c r="AZ100" s="233"/>
      <c r="BA100" s="233"/>
    </row>
    <row r="101" spans="1:53" ht="19.5" customHeight="1">
      <c r="A101" s="233"/>
      <c r="B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233"/>
      <c r="AK101" s="233"/>
      <c r="AL101" s="233"/>
      <c r="AM101" s="233"/>
      <c r="AN101" s="233"/>
      <c r="AO101" s="233"/>
      <c r="AP101" s="233"/>
      <c r="AQ101" s="233"/>
      <c r="AR101" s="233"/>
      <c r="AS101" s="233"/>
      <c r="AT101" s="233"/>
      <c r="AU101" s="233"/>
      <c r="AV101" s="233"/>
      <c r="AW101" s="233"/>
      <c r="AX101" s="233"/>
      <c r="AY101" s="233"/>
      <c r="AZ101" s="233"/>
      <c r="BA101" s="233"/>
    </row>
    <row r="102" spans="1:53" ht="19.5" customHeight="1">
      <c r="A102" s="233"/>
      <c r="B102" s="233"/>
      <c r="H102" s="233"/>
      <c r="I102" s="233"/>
      <c r="J102" s="233"/>
      <c r="K102" s="233"/>
      <c r="L102" s="233"/>
      <c r="M102" s="233"/>
      <c r="N102" s="233"/>
      <c r="O102" s="233"/>
      <c r="P102" s="233"/>
      <c r="Q102" s="233"/>
      <c r="R102" s="233"/>
      <c r="S102" s="233"/>
      <c r="T102" s="233"/>
      <c r="U102" s="233"/>
      <c r="V102" s="233"/>
      <c r="W102" s="233"/>
      <c r="X102" s="233"/>
      <c r="Y102" s="233"/>
      <c r="Z102" s="233"/>
      <c r="AA102" s="233"/>
      <c r="AB102" s="233"/>
      <c r="AC102" s="233"/>
      <c r="AD102" s="233"/>
      <c r="AE102" s="233"/>
      <c r="AF102" s="233"/>
      <c r="AG102" s="233"/>
      <c r="AH102" s="233"/>
      <c r="AI102" s="233"/>
      <c r="AJ102" s="233"/>
      <c r="AK102" s="233"/>
      <c r="AL102" s="233"/>
      <c r="AM102" s="233"/>
      <c r="AN102" s="233"/>
      <c r="AO102" s="233"/>
      <c r="AP102" s="233"/>
      <c r="AQ102" s="233"/>
      <c r="AR102" s="233"/>
      <c r="AS102" s="233"/>
      <c r="AT102" s="233"/>
      <c r="AU102" s="233"/>
      <c r="AV102" s="233"/>
      <c r="AW102" s="233"/>
      <c r="AX102" s="233"/>
      <c r="AY102" s="233"/>
      <c r="AZ102" s="233"/>
      <c r="BA102" s="233"/>
    </row>
    <row r="103" spans="1:53" ht="19.5" customHeight="1">
      <c r="A103" s="233"/>
      <c r="B103" s="233"/>
      <c r="H103" s="233"/>
      <c r="I103" s="233"/>
      <c r="J103" s="233"/>
      <c r="K103" s="233"/>
      <c r="L103" s="233"/>
      <c r="M103" s="233"/>
      <c r="N103" s="233"/>
      <c r="O103" s="233"/>
      <c r="P103" s="233"/>
      <c r="Q103" s="233"/>
      <c r="R103" s="233"/>
      <c r="S103" s="233"/>
      <c r="T103" s="233"/>
      <c r="U103" s="233"/>
      <c r="V103" s="233"/>
      <c r="W103" s="233"/>
      <c r="X103" s="233"/>
      <c r="Y103" s="233"/>
      <c r="Z103" s="233"/>
      <c r="AA103" s="233"/>
      <c r="AB103" s="233"/>
      <c r="AC103" s="233"/>
      <c r="AD103" s="233"/>
      <c r="AE103" s="233"/>
      <c r="AF103" s="233"/>
      <c r="AG103" s="233"/>
      <c r="AH103" s="233"/>
      <c r="AI103" s="233"/>
      <c r="AJ103" s="233"/>
      <c r="AK103" s="233"/>
      <c r="AL103" s="233"/>
      <c r="AM103" s="233"/>
      <c r="AN103" s="233"/>
      <c r="AO103" s="233"/>
      <c r="AP103" s="233"/>
      <c r="AQ103" s="233"/>
      <c r="AR103" s="233"/>
      <c r="AS103" s="233"/>
      <c r="AT103" s="233"/>
      <c r="AU103" s="233"/>
      <c r="AV103" s="233"/>
      <c r="AW103" s="233"/>
      <c r="AX103" s="233"/>
      <c r="AY103" s="233"/>
      <c r="AZ103" s="233"/>
      <c r="BA103" s="233"/>
    </row>
    <row r="104" spans="1:53" ht="19.5" customHeight="1">
      <c r="A104" s="233"/>
      <c r="B104" s="233"/>
      <c r="H104" s="233"/>
      <c r="I104" s="233"/>
      <c r="J104" s="233"/>
      <c r="K104" s="233"/>
      <c r="L104" s="233"/>
      <c r="M104" s="233"/>
      <c r="N104" s="233"/>
      <c r="O104" s="233"/>
      <c r="P104" s="233"/>
      <c r="Q104" s="233"/>
      <c r="R104" s="233"/>
      <c r="S104" s="233"/>
      <c r="T104" s="233"/>
      <c r="U104" s="233"/>
      <c r="V104" s="233"/>
      <c r="W104" s="233"/>
      <c r="X104" s="233"/>
      <c r="Y104" s="233"/>
      <c r="Z104" s="233"/>
      <c r="AA104" s="233"/>
      <c r="AB104" s="233"/>
      <c r="AC104" s="233"/>
      <c r="AD104" s="233"/>
      <c r="AE104" s="233"/>
      <c r="AF104" s="233"/>
      <c r="AG104" s="233"/>
      <c r="AH104" s="233"/>
      <c r="AI104" s="233"/>
      <c r="AJ104" s="233"/>
      <c r="AK104" s="233"/>
      <c r="AL104" s="233"/>
      <c r="AM104" s="233"/>
      <c r="AN104" s="233"/>
      <c r="AO104" s="233"/>
      <c r="AP104" s="233"/>
      <c r="AQ104" s="233"/>
      <c r="AR104" s="233"/>
      <c r="AS104" s="233"/>
      <c r="AT104" s="233"/>
      <c r="AU104" s="233"/>
      <c r="AV104" s="233"/>
      <c r="AW104" s="233"/>
      <c r="AX104" s="233"/>
      <c r="AY104" s="233"/>
      <c r="AZ104" s="233"/>
      <c r="BA104" s="233"/>
    </row>
    <row r="105" spans="1:53" ht="19.5" customHeight="1">
      <c r="A105" s="233"/>
      <c r="B105" s="233"/>
      <c r="H105" s="233"/>
      <c r="I105" s="233"/>
      <c r="J105" s="233"/>
      <c r="K105" s="233"/>
      <c r="L105" s="233"/>
      <c r="M105" s="233"/>
      <c r="N105" s="233"/>
      <c r="O105" s="233"/>
      <c r="P105" s="233"/>
      <c r="Q105" s="233"/>
      <c r="R105" s="233"/>
      <c r="S105" s="233"/>
      <c r="T105" s="233"/>
      <c r="U105" s="233"/>
      <c r="V105" s="233"/>
      <c r="W105" s="233"/>
      <c r="X105" s="233"/>
      <c r="Y105" s="233"/>
      <c r="Z105" s="233"/>
      <c r="AA105" s="233"/>
      <c r="AB105" s="233"/>
      <c r="AC105" s="233"/>
      <c r="AD105" s="233"/>
      <c r="AE105" s="233"/>
      <c r="AF105" s="233"/>
      <c r="AG105" s="233"/>
      <c r="AH105" s="233"/>
      <c r="AI105" s="233"/>
      <c r="AJ105" s="233"/>
      <c r="AK105" s="233"/>
      <c r="AL105" s="233"/>
      <c r="AM105" s="233"/>
      <c r="AN105" s="233"/>
      <c r="AO105" s="233"/>
      <c r="AP105" s="233"/>
      <c r="AQ105" s="233"/>
      <c r="AR105" s="233"/>
      <c r="AS105" s="233"/>
      <c r="AT105" s="233"/>
      <c r="AU105" s="233"/>
      <c r="AV105" s="233"/>
      <c r="AW105" s="233"/>
      <c r="AX105" s="233"/>
      <c r="AY105" s="233"/>
      <c r="AZ105" s="233"/>
      <c r="BA105" s="233"/>
    </row>
    <row r="106" spans="1:53" ht="19.5" customHeight="1">
      <c r="A106" s="233"/>
      <c r="B106" s="233"/>
      <c r="H106" s="233"/>
      <c r="I106" s="233"/>
      <c r="J106" s="233"/>
      <c r="K106" s="233"/>
      <c r="L106" s="233"/>
      <c r="M106" s="233"/>
      <c r="N106" s="233"/>
      <c r="O106" s="233"/>
      <c r="P106" s="233"/>
      <c r="Q106" s="233"/>
      <c r="R106" s="233"/>
      <c r="S106" s="233"/>
      <c r="T106" s="233"/>
      <c r="U106" s="233"/>
      <c r="V106" s="233"/>
      <c r="W106" s="233"/>
      <c r="X106" s="233"/>
      <c r="Y106" s="233"/>
      <c r="Z106" s="233"/>
      <c r="AA106" s="233"/>
      <c r="AB106" s="233"/>
      <c r="AC106" s="233"/>
      <c r="AD106" s="233"/>
      <c r="AE106" s="233"/>
      <c r="AF106" s="233"/>
      <c r="AG106" s="233"/>
      <c r="AH106" s="233"/>
      <c r="AI106" s="233"/>
      <c r="AJ106" s="233"/>
      <c r="AK106" s="233"/>
      <c r="AL106" s="233"/>
      <c r="AM106" s="233"/>
      <c r="AN106" s="233"/>
      <c r="AO106" s="233"/>
      <c r="AP106" s="233"/>
      <c r="AQ106" s="233"/>
      <c r="AR106" s="233"/>
      <c r="AS106" s="233"/>
      <c r="AT106" s="233"/>
      <c r="AU106" s="233"/>
      <c r="AV106" s="233"/>
      <c r="AW106" s="233"/>
      <c r="AX106" s="233"/>
      <c r="AY106" s="233"/>
      <c r="AZ106" s="233"/>
      <c r="BA106" s="233"/>
    </row>
    <row r="107" spans="1:53" ht="19.5" customHeight="1">
      <c r="A107" s="233"/>
      <c r="B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233"/>
      <c r="V107" s="233"/>
      <c r="W107" s="233"/>
      <c r="X107" s="233"/>
      <c r="Y107" s="233"/>
      <c r="Z107" s="233"/>
      <c r="AA107" s="233"/>
      <c r="AB107" s="233"/>
      <c r="AC107" s="233"/>
      <c r="AD107" s="233"/>
      <c r="AE107" s="233"/>
      <c r="AF107" s="233"/>
      <c r="AG107" s="233"/>
      <c r="AH107" s="233"/>
      <c r="AI107" s="233"/>
      <c r="AJ107" s="233"/>
      <c r="AK107" s="233"/>
      <c r="AL107" s="233"/>
      <c r="AM107" s="233"/>
      <c r="AN107" s="233"/>
      <c r="AO107" s="233"/>
      <c r="AP107" s="233"/>
      <c r="AQ107" s="233"/>
      <c r="AR107" s="233"/>
      <c r="AS107" s="233"/>
      <c r="AT107" s="233"/>
      <c r="AU107" s="233"/>
      <c r="AV107" s="233"/>
      <c r="AW107" s="233"/>
      <c r="AX107" s="233"/>
      <c r="AY107" s="233"/>
      <c r="AZ107" s="233"/>
      <c r="BA107" s="233"/>
    </row>
    <row r="108" spans="1:53" ht="19.5" customHeight="1">
      <c r="A108" s="233"/>
      <c r="B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33"/>
      <c r="AU108" s="233"/>
      <c r="AV108" s="233"/>
      <c r="AW108" s="233"/>
      <c r="AX108" s="233"/>
      <c r="AY108" s="233"/>
      <c r="AZ108" s="233"/>
      <c r="BA108" s="233"/>
    </row>
    <row r="109" spans="1:53" ht="19.5" customHeight="1">
      <c r="A109" s="233"/>
      <c r="B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U109" s="233"/>
      <c r="V109" s="233"/>
      <c r="W109" s="233"/>
      <c r="X109" s="233"/>
      <c r="Y109" s="233"/>
      <c r="Z109" s="233"/>
      <c r="AA109" s="233"/>
      <c r="AB109" s="233"/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  <c r="AU109" s="233"/>
      <c r="AV109" s="233"/>
      <c r="AW109" s="233"/>
      <c r="AX109" s="233"/>
      <c r="AY109" s="233"/>
      <c r="AZ109" s="233"/>
      <c r="BA109" s="233"/>
    </row>
    <row r="110" spans="1:53" ht="19.5" customHeight="1">
      <c r="A110" s="233"/>
      <c r="B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33"/>
      <c r="AU110" s="233"/>
      <c r="AV110" s="233"/>
      <c r="AW110" s="233"/>
      <c r="AX110" s="233"/>
      <c r="AY110" s="233"/>
      <c r="AZ110" s="233"/>
      <c r="BA110" s="233"/>
    </row>
    <row r="111" spans="1:53" ht="19.5" customHeight="1">
      <c r="A111" s="233"/>
      <c r="B111" s="233"/>
      <c r="H111" s="233"/>
      <c r="I111" s="233"/>
      <c r="J111" s="233"/>
      <c r="K111" s="233"/>
      <c r="L111" s="233"/>
      <c r="M111" s="233"/>
      <c r="N111" s="233"/>
      <c r="O111" s="233"/>
      <c r="P111" s="233"/>
      <c r="Q111" s="233"/>
      <c r="R111" s="233"/>
      <c r="S111" s="233"/>
      <c r="T111" s="233"/>
      <c r="U111" s="233"/>
      <c r="V111" s="233"/>
      <c r="W111" s="233"/>
      <c r="X111" s="233"/>
      <c r="Y111" s="233"/>
      <c r="Z111" s="233"/>
      <c r="AA111" s="233"/>
      <c r="AB111" s="233"/>
      <c r="AC111" s="233"/>
      <c r="AD111" s="233"/>
      <c r="AE111" s="233"/>
      <c r="AF111" s="233"/>
      <c r="AG111" s="233"/>
      <c r="AH111" s="233"/>
      <c r="AI111" s="233"/>
      <c r="AJ111" s="233"/>
      <c r="AK111" s="233"/>
      <c r="AL111" s="233"/>
      <c r="AM111" s="233"/>
      <c r="AN111" s="233"/>
      <c r="AO111" s="233"/>
      <c r="AP111" s="233"/>
      <c r="AQ111" s="233"/>
      <c r="AR111" s="233"/>
      <c r="AS111" s="233"/>
      <c r="AT111" s="233"/>
      <c r="AU111" s="233"/>
      <c r="AV111" s="233"/>
      <c r="AW111" s="233"/>
      <c r="AX111" s="233"/>
      <c r="AY111" s="233"/>
      <c r="AZ111" s="233"/>
      <c r="BA111" s="233"/>
    </row>
    <row r="112" spans="1:53" ht="19.5" customHeight="1">
      <c r="A112" s="233"/>
      <c r="B112" s="233"/>
      <c r="H112" s="233"/>
      <c r="I112" s="233"/>
      <c r="J112" s="233"/>
      <c r="K112" s="233"/>
      <c r="L112" s="233"/>
      <c r="M112" s="233"/>
      <c r="N112" s="233"/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233"/>
      <c r="AD112" s="233"/>
      <c r="AE112" s="233"/>
      <c r="AF112" s="233"/>
      <c r="AG112" s="233"/>
      <c r="AH112" s="233"/>
      <c r="AI112" s="233"/>
      <c r="AJ112" s="233"/>
      <c r="AK112" s="233"/>
      <c r="AL112" s="233"/>
      <c r="AM112" s="233"/>
      <c r="AN112" s="233"/>
      <c r="AO112" s="233"/>
      <c r="AP112" s="233"/>
      <c r="AQ112" s="233"/>
      <c r="AR112" s="233"/>
      <c r="AS112" s="233"/>
      <c r="AT112" s="233"/>
      <c r="AU112" s="233"/>
      <c r="AV112" s="233"/>
      <c r="AW112" s="233"/>
      <c r="AX112" s="233"/>
      <c r="AY112" s="233"/>
      <c r="AZ112" s="233"/>
      <c r="BA112" s="233"/>
    </row>
    <row r="113" spans="1:53" ht="19.5" customHeight="1">
      <c r="A113" s="233"/>
      <c r="B113" s="233"/>
      <c r="H113" s="233"/>
      <c r="I113" s="233"/>
      <c r="J113" s="233"/>
      <c r="K113" s="233"/>
      <c r="L113" s="233"/>
      <c r="M113" s="233"/>
      <c r="N113" s="233"/>
      <c r="O113" s="233"/>
      <c r="P113" s="233"/>
      <c r="Q113" s="233"/>
      <c r="R113" s="233"/>
      <c r="S113" s="233"/>
      <c r="T113" s="233"/>
      <c r="U113" s="233"/>
      <c r="V113" s="233"/>
      <c r="W113" s="233"/>
      <c r="X113" s="233"/>
      <c r="Y113" s="233"/>
      <c r="Z113" s="233"/>
      <c r="AA113" s="233"/>
      <c r="AB113" s="233"/>
      <c r="AC113" s="233"/>
      <c r="AD113" s="233"/>
      <c r="AE113" s="233"/>
      <c r="AF113" s="233"/>
      <c r="AG113" s="233"/>
      <c r="AH113" s="233"/>
      <c r="AI113" s="233"/>
      <c r="AJ113" s="233"/>
      <c r="AK113" s="233"/>
      <c r="AL113" s="233"/>
      <c r="AM113" s="233"/>
      <c r="AN113" s="233"/>
      <c r="AO113" s="233"/>
      <c r="AP113" s="233"/>
      <c r="AQ113" s="233"/>
      <c r="AR113" s="233"/>
      <c r="AS113" s="233"/>
      <c r="AT113" s="233"/>
      <c r="AU113" s="233"/>
      <c r="AV113" s="233"/>
      <c r="AW113" s="233"/>
      <c r="AX113" s="233"/>
      <c r="AY113" s="233"/>
      <c r="AZ113" s="233"/>
      <c r="BA113" s="233"/>
    </row>
    <row r="114" spans="1:53" ht="19.5" customHeight="1">
      <c r="A114" s="233"/>
      <c r="B114" s="233"/>
      <c r="H114" s="233"/>
      <c r="I114" s="233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33"/>
      <c r="U114" s="233"/>
      <c r="V114" s="233"/>
      <c r="W114" s="233"/>
      <c r="X114" s="233"/>
      <c r="Y114" s="233"/>
      <c r="Z114" s="233"/>
      <c r="AA114" s="233"/>
      <c r="AB114" s="233"/>
      <c r="AC114" s="233"/>
      <c r="AD114" s="233"/>
      <c r="AE114" s="233"/>
      <c r="AF114" s="233"/>
      <c r="AG114" s="233"/>
      <c r="AH114" s="233"/>
      <c r="AI114" s="233"/>
      <c r="AJ114" s="233"/>
      <c r="AK114" s="233"/>
      <c r="AL114" s="233"/>
      <c r="AM114" s="233"/>
      <c r="AN114" s="233"/>
      <c r="AO114" s="233"/>
      <c r="AP114" s="233"/>
      <c r="AQ114" s="233"/>
      <c r="AR114" s="233"/>
      <c r="AS114" s="233"/>
      <c r="AT114" s="233"/>
      <c r="AU114" s="233"/>
      <c r="AV114" s="233"/>
      <c r="AW114" s="233"/>
      <c r="AX114" s="233"/>
      <c r="AY114" s="233"/>
      <c r="AZ114" s="233"/>
      <c r="BA114" s="233"/>
    </row>
    <row r="115" spans="1:53" ht="19.5" customHeight="1">
      <c r="A115" s="233"/>
      <c r="B115" s="233"/>
      <c r="H115" s="233"/>
      <c r="I115" s="233"/>
      <c r="J115" s="233"/>
      <c r="K115" s="233"/>
      <c r="L115" s="233"/>
      <c r="M115" s="233"/>
      <c r="N115" s="233"/>
      <c r="O115" s="233"/>
      <c r="P115" s="233"/>
      <c r="Q115" s="233"/>
      <c r="R115" s="233"/>
      <c r="S115" s="233"/>
      <c r="T115" s="233"/>
      <c r="U115" s="233"/>
      <c r="V115" s="233"/>
      <c r="W115" s="233"/>
      <c r="X115" s="233"/>
      <c r="Y115" s="233"/>
      <c r="Z115" s="233"/>
      <c r="AA115" s="233"/>
      <c r="AB115" s="233"/>
      <c r="AC115" s="233"/>
      <c r="AD115" s="233"/>
      <c r="AE115" s="233"/>
      <c r="AF115" s="233"/>
      <c r="AG115" s="233"/>
      <c r="AH115" s="233"/>
      <c r="AI115" s="233"/>
      <c r="AJ115" s="233"/>
      <c r="AK115" s="233"/>
      <c r="AL115" s="233"/>
      <c r="AM115" s="233"/>
      <c r="AN115" s="233"/>
      <c r="AO115" s="233"/>
      <c r="AP115" s="233"/>
      <c r="AQ115" s="233"/>
      <c r="AR115" s="233"/>
      <c r="AS115" s="233"/>
      <c r="AT115" s="233"/>
      <c r="AU115" s="233"/>
      <c r="AV115" s="233"/>
      <c r="AW115" s="233"/>
      <c r="AX115" s="233"/>
      <c r="AY115" s="233"/>
      <c r="AZ115" s="233"/>
      <c r="BA115" s="233"/>
    </row>
    <row r="116" spans="1:53" ht="19.5" customHeight="1">
      <c r="A116" s="233"/>
      <c r="B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233"/>
      <c r="V116" s="233"/>
      <c r="W116" s="233"/>
      <c r="X116" s="233"/>
      <c r="Y116" s="233"/>
      <c r="Z116" s="233"/>
      <c r="AA116" s="233"/>
      <c r="AB116" s="233"/>
      <c r="AC116" s="233"/>
      <c r="AD116" s="233"/>
      <c r="AE116" s="233"/>
      <c r="AF116" s="233"/>
      <c r="AG116" s="233"/>
      <c r="AH116" s="233"/>
      <c r="AI116" s="233"/>
      <c r="AJ116" s="233"/>
      <c r="AK116" s="233"/>
      <c r="AL116" s="233"/>
      <c r="AM116" s="233"/>
      <c r="AN116" s="233"/>
      <c r="AO116" s="233"/>
      <c r="AP116" s="233"/>
      <c r="AQ116" s="233"/>
      <c r="AR116" s="233"/>
      <c r="AS116" s="233"/>
      <c r="AT116" s="233"/>
      <c r="AU116" s="233"/>
      <c r="AV116" s="233"/>
      <c r="AW116" s="233"/>
      <c r="AX116" s="233"/>
      <c r="AY116" s="233"/>
      <c r="AZ116" s="233"/>
      <c r="BA116" s="233"/>
    </row>
    <row r="117" spans="1:53" ht="19.5" customHeight="1">
      <c r="A117" s="233"/>
      <c r="B117" s="233"/>
      <c r="H117" s="233"/>
      <c r="I117" s="233"/>
      <c r="J117" s="233"/>
      <c r="K117" s="233"/>
      <c r="L117" s="233"/>
      <c r="M117" s="233"/>
      <c r="N117" s="233"/>
      <c r="O117" s="233"/>
      <c r="P117" s="233"/>
      <c r="Q117" s="233"/>
      <c r="R117" s="233"/>
      <c r="S117" s="233"/>
      <c r="T117" s="233"/>
      <c r="U117" s="233"/>
      <c r="V117" s="233"/>
      <c r="W117" s="233"/>
      <c r="X117" s="233"/>
      <c r="Y117" s="233"/>
      <c r="Z117" s="233"/>
      <c r="AA117" s="233"/>
      <c r="AB117" s="233"/>
      <c r="AC117" s="233"/>
      <c r="AD117" s="233"/>
      <c r="AE117" s="233"/>
      <c r="AF117" s="233"/>
      <c r="AG117" s="233"/>
      <c r="AH117" s="233"/>
      <c r="AI117" s="233"/>
      <c r="AJ117" s="233"/>
      <c r="AK117" s="233"/>
      <c r="AL117" s="233"/>
      <c r="AM117" s="233"/>
      <c r="AN117" s="233"/>
      <c r="AO117" s="233"/>
      <c r="AP117" s="233"/>
      <c r="AQ117" s="233"/>
      <c r="AR117" s="233"/>
      <c r="AS117" s="233"/>
      <c r="AT117" s="233"/>
      <c r="AU117" s="233"/>
      <c r="AV117" s="233"/>
      <c r="AW117" s="233"/>
      <c r="AX117" s="233"/>
      <c r="AY117" s="233"/>
      <c r="AZ117" s="233"/>
      <c r="BA117" s="233"/>
    </row>
    <row r="118" spans="1:53" ht="19.5" customHeight="1">
      <c r="A118" s="233"/>
      <c r="B118" s="233"/>
      <c r="H118" s="233"/>
      <c r="I118" s="233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  <c r="AQ118" s="233"/>
      <c r="AR118" s="233"/>
      <c r="AS118" s="233"/>
      <c r="AT118" s="233"/>
      <c r="AU118" s="233"/>
      <c r="AV118" s="233"/>
      <c r="AW118" s="233"/>
      <c r="AX118" s="233"/>
      <c r="AY118" s="233"/>
      <c r="AZ118" s="233"/>
      <c r="BA118" s="233"/>
    </row>
    <row r="119" spans="1:53" ht="19.5" customHeight="1">
      <c r="A119" s="233"/>
      <c r="B119" s="233"/>
      <c r="H119" s="233"/>
      <c r="I119" s="233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  <c r="AQ119" s="233"/>
      <c r="AR119" s="233"/>
      <c r="AS119" s="233"/>
      <c r="AT119" s="233"/>
      <c r="AU119" s="233"/>
      <c r="AV119" s="233"/>
      <c r="AW119" s="233"/>
      <c r="AX119" s="233"/>
      <c r="AY119" s="233"/>
      <c r="AZ119" s="233"/>
      <c r="BA119" s="233"/>
    </row>
    <row r="120" spans="1:53" ht="19.5" customHeight="1">
      <c r="A120" s="233"/>
      <c r="B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3"/>
      <c r="T120" s="233"/>
      <c r="U120" s="233"/>
      <c r="V120" s="233"/>
      <c r="W120" s="233"/>
      <c r="X120" s="233"/>
      <c r="Y120" s="233"/>
      <c r="Z120" s="233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  <c r="AQ120" s="233"/>
      <c r="AR120" s="233"/>
      <c r="AS120" s="233"/>
      <c r="AT120" s="233"/>
      <c r="AU120" s="233"/>
      <c r="AV120" s="233"/>
      <c r="AW120" s="233"/>
      <c r="AX120" s="233"/>
      <c r="AY120" s="233"/>
      <c r="AZ120" s="233"/>
      <c r="BA120" s="233"/>
    </row>
    <row r="121" spans="1:53" ht="19.5" customHeight="1">
      <c r="A121" s="233"/>
      <c r="B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3"/>
      <c r="AO121" s="233"/>
      <c r="AP121" s="233"/>
      <c r="AQ121" s="233"/>
      <c r="AR121" s="233"/>
      <c r="AS121" s="233"/>
      <c r="AT121" s="233"/>
      <c r="AU121" s="233"/>
      <c r="AV121" s="233"/>
      <c r="AW121" s="233"/>
      <c r="AX121" s="233"/>
      <c r="AY121" s="233"/>
      <c r="AZ121" s="233"/>
      <c r="BA121" s="233"/>
    </row>
    <row r="122" spans="1:53" ht="19.5" customHeight="1">
      <c r="A122" s="233"/>
      <c r="B122" s="233"/>
      <c r="H122" s="233"/>
      <c r="I122" s="233"/>
      <c r="J122" s="233"/>
      <c r="K122" s="233"/>
      <c r="L122" s="233"/>
      <c r="M122" s="233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  <c r="AQ122" s="233"/>
      <c r="AR122" s="233"/>
      <c r="AS122" s="233"/>
      <c r="AT122" s="233"/>
      <c r="AU122" s="233"/>
      <c r="AV122" s="233"/>
      <c r="AW122" s="233"/>
      <c r="AX122" s="233"/>
      <c r="AY122" s="233"/>
      <c r="AZ122" s="233"/>
      <c r="BA122" s="233"/>
    </row>
    <row r="123" spans="1:53" ht="19.5" customHeight="1">
      <c r="A123" s="233"/>
      <c r="B123" s="233"/>
      <c r="H123" s="233"/>
      <c r="I123" s="233"/>
      <c r="J123" s="233"/>
      <c r="K123" s="233"/>
      <c r="L123" s="233"/>
      <c r="M123" s="233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  <c r="AE123" s="233"/>
      <c r="AF123" s="233"/>
      <c r="AG123" s="233"/>
      <c r="AH123" s="233"/>
      <c r="AI123" s="233"/>
      <c r="AJ123" s="233"/>
      <c r="AK123" s="233"/>
      <c r="AL123" s="233"/>
      <c r="AM123" s="233"/>
      <c r="AN123" s="233"/>
      <c r="AO123" s="233"/>
      <c r="AP123" s="233"/>
      <c r="AQ123" s="233"/>
      <c r="AR123" s="233"/>
      <c r="AS123" s="233"/>
      <c r="AT123" s="233"/>
      <c r="AU123" s="233"/>
      <c r="AV123" s="233"/>
      <c r="AW123" s="233"/>
      <c r="AX123" s="233"/>
      <c r="AY123" s="233"/>
      <c r="AZ123" s="233"/>
      <c r="BA123" s="233"/>
    </row>
    <row r="124" spans="1:53" ht="19.5" customHeight="1">
      <c r="A124" s="233"/>
      <c r="B124" s="233"/>
      <c r="H124" s="233"/>
      <c r="I124" s="233"/>
      <c r="J124" s="233"/>
      <c r="K124" s="233"/>
      <c r="L124" s="233"/>
      <c r="M124" s="233"/>
      <c r="N124" s="233"/>
      <c r="O124" s="233"/>
      <c r="P124" s="233"/>
      <c r="Q124" s="233"/>
      <c r="R124" s="233"/>
      <c r="S124" s="233"/>
      <c r="T124" s="233"/>
      <c r="U124" s="233"/>
      <c r="V124" s="233"/>
      <c r="W124" s="233"/>
      <c r="X124" s="233"/>
      <c r="Y124" s="233"/>
      <c r="Z124" s="233"/>
      <c r="AA124" s="233"/>
      <c r="AB124" s="233"/>
      <c r="AC124" s="233"/>
      <c r="AD124" s="233"/>
      <c r="AE124" s="233"/>
      <c r="AF124" s="233"/>
      <c r="AG124" s="233"/>
      <c r="AH124" s="233"/>
      <c r="AI124" s="233"/>
      <c r="AJ124" s="233"/>
      <c r="AK124" s="233"/>
      <c r="AL124" s="233"/>
      <c r="AM124" s="233"/>
      <c r="AN124" s="233"/>
      <c r="AO124" s="233"/>
      <c r="AP124" s="233"/>
      <c r="AQ124" s="233"/>
      <c r="AR124" s="233"/>
      <c r="AS124" s="233"/>
      <c r="AT124" s="233"/>
      <c r="AU124" s="233"/>
      <c r="AV124" s="233"/>
      <c r="AW124" s="233"/>
      <c r="AX124" s="233"/>
      <c r="AY124" s="233"/>
      <c r="AZ124" s="233"/>
      <c r="BA124" s="233"/>
    </row>
    <row r="125" spans="1:53" ht="19.5" customHeight="1">
      <c r="A125" s="233"/>
      <c r="B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233"/>
      <c r="V125" s="233"/>
      <c r="W125" s="233"/>
      <c r="X125" s="233"/>
      <c r="Y125" s="233"/>
      <c r="Z125" s="233"/>
      <c r="AA125" s="233"/>
      <c r="AB125" s="233"/>
      <c r="AC125" s="233"/>
      <c r="AD125" s="233"/>
      <c r="AE125" s="233"/>
      <c r="AF125" s="233"/>
      <c r="AG125" s="233"/>
      <c r="AH125" s="233"/>
      <c r="AI125" s="233"/>
      <c r="AJ125" s="233"/>
      <c r="AK125" s="233"/>
      <c r="AL125" s="233"/>
      <c r="AM125" s="233"/>
      <c r="AN125" s="233"/>
      <c r="AO125" s="233"/>
      <c r="AP125" s="233"/>
      <c r="AQ125" s="233"/>
      <c r="AR125" s="233"/>
      <c r="AS125" s="233"/>
      <c r="AT125" s="233"/>
      <c r="AU125" s="233"/>
      <c r="AV125" s="233"/>
      <c r="AW125" s="233"/>
      <c r="AX125" s="233"/>
      <c r="AY125" s="233"/>
      <c r="AZ125" s="233"/>
      <c r="BA125" s="233"/>
    </row>
    <row r="126" spans="1:53" ht="19.5" customHeight="1">
      <c r="A126" s="233"/>
      <c r="B126" s="233"/>
      <c r="H126" s="233"/>
      <c r="I126" s="233"/>
      <c r="J126" s="233"/>
      <c r="K126" s="233"/>
      <c r="L126" s="233"/>
      <c r="M126" s="233"/>
      <c r="N126" s="233"/>
      <c r="O126" s="233"/>
      <c r="P126" s="233"/>
      <c r="Q126" s="233"/>
      <c r="R126" s="233"/>
      <c r="S126" s="233"/>
      <c r="T126" s="233"/>
      <c r="U126" s="233"/>
      <c r="V126" s="233"/>
      <c r="W126" s="233"/>
      <c r="X126" s="233"/>
      <c r="Y126" s="233"/>
      <c r="Z126" s="233"/>
      <c r="AA126" s="233"/>
      <c r="AB126" s="233"/>
      <c r="AC126" s="233"/>
      <c r="AD126" s="233"/>
      <c r="AE126" s="233"/>
      <c r="AF126" s="233"/>
      <c r="AG126" s="233"/>
      <c r="AH126" s="233"/>
      <c r="AI126" s="233"/>
      <c r="AJ126" s="233"/>
      <c r="AK126" s="233"/>
      <c r="AL126" s="233"/>
      <c r="AM126" s="233"/>
      <c r="AN126" s="233"/>
      <c r="AO126" s="233"/>
      <c r="AP126" s="233"/>
      <c r="AQ126" s="233"/>
      <c r="AR126" s="233"/>
      <c r="AS126" s="233"/>
      <c r="AT126" s="233"/>
      <c r="AU126" s="233"/>
      <c r="AV126" s="233"/>
      <c r="AW126" s="233"/>
      <c r="AX126" s="233"/>
      <c r="AY126" s="233"/>
      <c r="AZ126" s="233"/>
      <c r="BA126" s="233"/>
    </row>
    <row r="127" spans="1:53" ht="19.5" customHeight="1">
      <c r="A127" s="233"/>
      <c r="B127" s="233"/>
      <c r="H127" s="233"/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233"/>
      <c r="Y127" s="233"/>
      <c r="Z127" s="233"/>
      <c r="AA127" s="233"/>
      <c r="AB127" s="233"/>
      <c r="AC127" s="233"/>
      <c r="AD127" s="233"/>
      <c r="AE127" s="233"/>
      <c r="AF127" s="233"/>
      <c r="AG127" s="233"/>
      <c r="AH127" s="233"/>
      <c r="AI127" s="233"/>
      <c r="AJ127" s="233"/>
      <c r="AK127" s="233"/>
      <c r="AL127" s="233"/>
      <c r="AM127" s="233"/>
      <c r="AN127" s="233"/>
      <c r="AO127" s="233"/>
      <c r="AP127" s="233"/>
      <c r="AQ127" s="233"/>
      <c r="AR127" s="233"/>
      <c r="AS127" s="233"/>
      <c r="AT127" s="233"/>
      <c r="AU127" s="233"/>
      <c r="AV127" s="233"/>
      <c r="AW127" s="233"/>
      <c r="AX127" s="233"/>
      <c r="AY127" s="233"/>
      <c r="AZ127" s="233"/>
      <c r="BA127" s="233"/>
    </row>
    <row r="128" spans="1:53" ht="19.5" customHeight="1">
      <c r="A128" s="233"/>
      <c r="B128" s="233"/>
      <c r="H128" s="233"/>
      <c r="I128" s="233"/>
      <c r="J128" s="233"/>
      <c r="K128" s="233"/>
      <c r="L128" s="233"/>
      <c r="M128" s="233"/>
      <c r="N128" s="233"/>
      <c r="O128" s="233"/>
      <c r="P128" s="233"/>
      <c r="Q128" s="233"/>
      <c r="R128" s="233"/>
      <c r="S128" s="233"/>
      <c r="T128" s="233"/>
      <c r="U128" s="233"/>
      <c r="V128" s="233"/>
      <c r="W128" s="233"/>
      <c r="X128" s="233"/>
      <c r="Y128" s="233"/>
      <c r="Z128" s="233"/>
      <c r="AA128" s="233"/>
      <c r="AB128" s="233"/>
      <c r="AC128" s="233"/>
      <c r="AD128" s="233"/>
      <c r="AE128" s="233"/>
      <c r="AF128" s="233"/>
      <c r="AG128" s="233"/>
      <c r="AH128" s="233"/>
      <c r="AI128" s="233"/>
      <c r="AJ128" s="233"/>
      <c r="AK128" s="233"/>
      <c r="AL128" s="233"/>
      <c r="AM128" s="233"/>
      <c r="AN128" s="233"/>
      <c r="AO128" s="233"/>
      <c r="AP128" s="233"/>
      <c r="AQ128" s="233"/>
      <c r="AR128" s="233"/>
      <c r="AS128" s="233"/>
      <c r="AT128" s="233"/>
      <c r="AU128" s="233"/>
      <c r="AV128" s="233"/>
      <c r="AW128" s="233"/>
      <c r="AX128" s="233"/>
      <c r="AY128" s="233"/>
      <c r="AZ128" s="233"/>
      <c r="BA128" s="233"/>
    </row>
    <row r="129" spans="1:53" ht="19.5" customHeight="1">
      <c r="A129" s="233"/>
      <c r="B129" s="233"/>
      <c r="H129" s="233"/>
      <c r="I129" s="233"/>
      <c r="J129" s="233"/>
      <c r="K129" s="233"/>
      <c r="L129" s="233"/>
      <c r="M129" s="233"/>
      <c r="N129" s="233"/>
      <c r="O129" s="233"/>
      <c r="P129" s="233"/>
      <c r="Q129" s="233"/>
      <c r="R129" s="233"/>
      <c r="S129" s="233"/>
      <c r="T129" s="233"/>
      <c r="U129" s="233"/>
      <c r="V129" s="233"/>
      <c r="W129" s="233"/>
      <c r="X129" s="233"/>
      <c r="Y129" s="233"/>
      <c r="Z129" s="233"/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233"/>
      <c r="AO129" s="233"/>
      <c r="AP129" s="233"/>
      <c r="AQ129" s="233"/>
      <c r="AR129" s="233"/>
      <c r="AS129" s="233"/>
      <c r="AT129" s="233"/>
      <c r="AU129" s="233"/>
      <c r="AV129" s="233"/>
      <c r="AW129" s="233"/>
      <c r="AX129" s="233"/>
      <c r="AY129" s="233"/>
      <c r="AZ129" s="233"/>
      <c r="BA129" s="233"/>
    </row>
    <row r="130" spans="1:53" ht="19.5" customHeight="1">
      <c r="A130" s="233"/>
      <c r="B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I130" s="233"/>
      <c r="AJ130" s="233"/>
      <c r="AK130" s="233"/>
      <c r="AL130" s="233"/>
      <c r="AM130" s="233"/>
      <c r="AN130" s="233"/>
      <c r="AO130" s="233"/>
      <c r="AP130" s="233"/>
      <c r="AQ130" s="233"/>
      <c r="AR130" s="233"/>
      <c r="AS130" s="233"/>
      <c r="AT130" s="233"/>
      <c r="AU130" s="233"/>
      <c r="AV130" s="233"/>
      <c r="AW130" s="233"/>
      <c r="AX130" s="233"/>
      <c r="AY130" s="233"/>
      <c r="AZ130" s="233"/>
      <c r="BA130" s="233"/>
    </row>
    <row r="131" spans="1:53" ht="19.5" customHeight="1">
      <c r="A131" s="233"/>
      <c r="B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  <c r="AQ131" s="233"/>
      <c r="AR131" s="233"/>
      <c r="AS131" s="233"/>
      <c r="AT131" s="233"/>
      <c r="AU131" s="233"/>
      <c r="AV131" s="233"/>
      <c r="AW131" s="233"/>
      <c r="AX131" s="233"/>
      <c r="AY131" s="233"/>
      <c r="AZ131" s="233"/>
      <c r="BA131" s="233"/>
    </row>
    <row r="132" spans="1:53" ht="19.5" customHeight="1">
      <c r="A132" s="233"/>
      <c r="B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233"/>
      <c r="AN132" s="233"/>
      <c r="AO132" s="233"/>
      <c r="AP132" s="233"/>
      <c r="AQ132" s="233"/>
      <c r="AR132" s="233"/>
      <c r="AS132" s="233"/>
      <c r="AT132" s="233"/>
      <c r="AU132" s="233"/>
      <c r="AV132" s="233"/>
      <c r="AW132" s="233"/>
      <c r="AX132" s="233"/>
      <c r="AY132" s="233"/>
      <c r="AZ132" s="233"/>
      <c r="BA132" s="233"/>
    </row>
    <row r="133" spans="1:53" ht="19.5" customHeight="1">
      <c r="A133" s="233"/>
      <c r="B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  <c r="AQ133" s="233"/>
      <c r="AR133" s="233"/>
      <c r="AS133" s="233"/>
      <c r="AT133" s="233"/>
      <c r="AU133" s="233"/>
      <c r="AV133" s="233"/>
      <c r="AW133" s="233"/>
      <c r="AX133" s="233"/>
      <c r="AY133" s="233"/>
      <c r="AZ133" s="233"/>
      <c r="BA133" s="233"/>
    </row>
    <row r="134" spans="1:53" ht="19.5" customHeight="1">
      <c r="A134" s="233"/>
      <c r="B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233"/>
      <c r="AO134" s="233"/>
      <c r="AP134" s="233"/>
      <c r="AQ134" s="233"/>
      <c r="AR134" s="233"/>
      <c r="AS134" s="233"/>
      <c r="AT134" s="233"/>
      <c r="AU134" s="233"/>
      <c r="AV134" s="233"/>
      <c r="AW134" s="233"/>
      <c r="AX134" s="233"/>
      <c r="AY134" s="233"/>
      <c r="AZ134" s="233"/>
      <c r="BA134" s="233"/>
    </row>
    <row r="135" spans="1:53" ht="19.5" customHeight="1">
      <c r="A135" s="233"/>
      <c r="B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233"/>
      <c r="AJ135" s="233"/>
      <c r="AK135" s="233"/>
      <c r="AL135" s="233"/>
      <c r="AM135" s="233"/>
      <c r="AN135" s="233"/>
      <c r="AO135" s="233"/>
      <c r="AP135" s="233"/>
      <c r="AQ135" s="233"/>
      <c r="AR135" s="233"/>
      <c r="AS135" s="233"/>
      <c r="AT135" s="233"/>
      <c r="AU135" s="233"/>
      <c r="AV135" s="233"/>
      <c r="AW135" s="233"/>
      <c r="AX135" s="233"/>
      <c r="AY135" s="233"/>
      <c r="AZ135" s="233"/>
      <c r="BA135" s="233"/>
    </row>
    <row r="136" spans="1:53" ht="19.5" customHeight="1">
      <c r="A136" s="233"/>
      <c r="B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  <c r="AH136" s="233"/>
      <c r="AI136" s="233"/>
      <c r="AJ136" s="233"/>
      <c r="AK136" s="233"/>
      <c r="AL136" s="233"/>
      <c r="AM136" s="233"/>
      <c r="AN136" s="233"/>
      <c r="AO136" s="233"/>
      <c r="AP136" s="233"/>
      <c r="AQ136" s="233"/>
      <c r="AR136" s="233"/>
      <c r="AS136" s="233"/>
      <c r="AT136" s="233"/>
      <c r="AU136" s="233"/>
      <c r="AV136" s="233"/>
      <c r="AW136" s="233"/>
      <c r="AX136" s="233"/>
      <c r="AY136" s="233"/>
      <c r="AZ136" s="233"/>
      <c r="BA136" s="233"/>
    </row>
    <row r="137" spans="1:53" ht="19.5" customHeight="1">
      <c r="A137" s="233"/>
      <c r="B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233"/>
      <c r="AH137" s="233"/>
      <c r="AI137" s="233"/>
      <c r="AJ137" s="233"/>
      <c r="AK137" s="233"/>
      <c r="AL137" s="233"/>
      <c r="AM137" s="233"/>
      <c r="AN137" s="233"/>
      <c r="AO137" s="233"/>
      <c r="AP137" s="233"/>
      <c r="AQ137" s="233"/>
      <c r="AR137" s="233"/>
      <c r="AS137" s="233"/>
      <c r="AT137" s="233"/>
      <c r="AU137" s="233"/>
      <c r="AV137" s="233"/>
      <c r="AW137" s="233"/>
      <c r="AX137" s="233"/>
      <c r="AY137" s="233"/>
      <c r="AZ137" s="233"/>
      <c r="BA137" s="233"/>
    </row>
    <row r="138" spans="1:53" ht="19.5" customHeight="1">
      <c r="A138" s="233"/>
      <c r="B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233"/>
      <c r="AH138" s="233"/>
      <c r="AI138" s="233"/>
      <c r="AJ138" s="233"/>
      <c r="AK138" s="233"/>
      <c r="AL138" s="233"/>
      <c r="AM138" s="233"/>
      <c r="AN138" s="233"/>
      <c r="AO138" s="233"/>
      <c r="AP138" s="233"/>
      <c r="AQ138" s="233"/>
      <c r="AR138" s="233"/>
      <c r="AS138" s="233"/>
      <c r="AT138" s="233"/>
      <c r="AU138" s="233"/>
      <c r="AV138" s="233"/>
      <c r="AW138" s="233"/>
      <c r="AX138" s="233"/>
      <c r="AY138" s="233"/>
      <c r="AZ138" s="233"/>
      <c r="BA138" s="233"/>
    </row>
    <row r="139" spans="1:53" ht="19.5" customHeight="1">
      <c r="A139" s="233"/>
      <c r="B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233"/>
      <c r="AJ139" s="233"/>
      <c r="AK139" s="233"/>
      <c r="AL139" s="233"/>
      <c r="AM139" s="233"/>
      <c r="AN139" s="233"/>
      <c r="AO139" s="233"/>
      <c r="AP139" s="233"/>
      <c r="AQ139" s="233"/>
      <c r="AR139" s="233"/>
      <c r="AS139" s="233"/>
      <c r="AT139" s="233"/>
      <c r="AU139" s="233"/>
      <c r="AV139" s="233"/>
      <c r="AW139" s="233"/>
      <c r="AX139" s="233"/>
      <c r="AY139" s="233"/>
      <c r="AZ139" s="233"/>
      <c r="BA139" s="233"/>
    </row>
    <row r="140" spans="1:53" ht="19.5" customHeight="1">
      <c r="A140" s="233"/>
      <c r="B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233"/>
      <c r="AJ140" s="233"/>
      <c r="AK140" s="233"/>
      <c r="AL140" s="233"/>
      <c r="AM140" s="233"/>
      <c r="AN140" s="233"/>
      <c r="AO140" s="233"/>
      <c r="AP140" s="233"/>
      <c r="AQ140" s="233"/>
      <c r="AR140" s="233"/>
      <c r="AS140" s="233"/>
      <c r="AT140" s="233"/>
      <c r="AU140" s="233"/>
      <c r="AV140" s="233"/>
      <c r="AW140" s="233"/>
      <c r="AX140" s="233"/>
      <c r="AY140" s="233"/>
      <c r="AZ140" s="233"/>
      <c r="BA140" s="233"/>
    </row>
    <row r="141" spans="1:53" ht="19.5" customHeight="1">
      <c r="A141" s="233"/>
      <c r="B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233"/>
      <c r="AH141" s="233"/>
      <c r="AI141" s="233"/>
      <c r="AJ141" s="233"/>
      <c r="AK141" s="233"/>
      <c r="AL141" s="233"/>
      <c r="AM141" s="233"/>
      <c r="AN141" s="233"/>
      <c r="AO141" s="233"/>
      <c r="AP141" s="233"/>
      <c r="AQ141" s="233"/>
      <c r="AR141" s="233"/>
      <c r="AS141" s="233"/>
      <c r="AT141" s="233"/>
      <c r="AU141" s="233"/>
      <c r="AV141" s="233"/>
      <c r="AW141" s="233"/>
      <c r="AX141" s="233"/>
      <c r="AY141" s="233"/>
      <c r="AZ141" s="233"/>
      <c r="BA141" s="233"/>
    </row>
    <row r="142" spans="1:53" ht="19.5" customHeight="1">
      <c r="A142" s="233"/>
      <c r="B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233"/>
      <c r="AH142" s="233"/>
      <c r="AI142" s="233"/>
      <c r="AJ142" s="233"/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</row>
    <row r="143" spans="1:53" ht="19.5" customHeight="1">
      <c r="A143" s="233"/>
      <c r="B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233"/>
      <c r="AH143" s="233"/>
      <c r="AI143" s="233"/>
      <c r="AJ143" s="233"/>
      <c r="AK143" s="233"/>
      <c r="AL143" s="233"/>
      <c r="AM143" s="233"/>
      <c r="AN143" s="233"/>
      <c r="AO143" s="233"/>
      <c r="AP143" s="233"/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3"/>
    </row>
    <row r="144" spans="1:53" ht="19.5" customHeight="1">
      <c r="A144" s="233"/>
      <c r="B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233"/>
      <c r="AH144" s="233"/>
      <c r="AI144" s="233"/>
      <c r="AJ144" s="233"/>
      <c r="AK144" s="233"/>
      <c r="AL144" s="233"/>
      <c r="AM144" s="233"/>
      <c r="AN144" s="233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3"/>
    </row>
    <row r="145" spans="1:53" ht="19.5" customHeight="1">
      <c r="A145" s="233"/>
      <c r="B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233"/>
      <c r="AH145" s="233"/>
      <c r="AI145" s="233"/>
      <c r="AJ145" s="233"/>
      <c r="AK145" s="233"/>
      <c r="AL145" s="233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</row>
    <row r="146" spans="1:53" ht="19.5" customHeight="1">
      <c r="A146" s="233"/>
      <c r="B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233"/>
      <c r="AH146" s="233"/>
      <c r="AI146" s="233"/>
      <c r="AJ146" s="233"/>
      <c r="AK146" s="233"/>
      <c r="AL146" s="233"/>
      <c r="AM146" s="233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</row>
    <row r="147" spans="1:53" ht="19.5" customHeight="1">
      <c r="A147" s="233"/>
      <c r="B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233"/>
      <c r="AH147" s="233"/>
      <c r="AI147" s="233"/>
      <c r="AJ147" s="233"/>
      <c r="AK147" s="233"/>
      <c r="AL147" s="233"/>
      <c r="AM147" s="233"/>
      <c r="AN147" s="233"/>
      <c r="AO147" s="233"/>
      <c r="AP147" s="233"/>
      <c r="AQ147" s="233"/>
      <c r="AR147" s="233"/>
      <c r="AS147" s="233"/>
      <c r="AT147" s="233"/>
      <c r="AU147" s="233"/>
      <c r="AV147" s="233"/>
      <c r="AW147" s="233"/>
      <c r="AX147" s="233"/>
      <c r="AY147" s="233"/>
      <c r="AZ147" s="233"/>
      <c r="BA147" s="233"/>
    </row>
    <row r="148" spans="1:53" ht="19.5" customHeight="1">
      <c r="A148" s="233"/>
      <c r="B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233"/>
      <c r="AH148" s="233"/>
      <c r="AI148" s="233"/>
      <c r="AJ148" s="233"/>
      <c r="AK148" s="233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3"/>
    </row>
    <row r="149" spans="1:53" ht="19.5" customHeight="1">
      <c r="A149" s="233"/>
      <c r="B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</row>
    <row r="150" spans="1:53" ht="19.5" customHeight="1">
      <c r="A150" s="233"/>
      <c r="B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233"/>
      <c r="AH150" s="233"/>
      <c r="AI150" s="233"/>
      <c r="AJ150" s="233"/>
      <c r="AK150" s="233"/>
      <c r="AL150" s="233"/>
      <c r="AM150" s="233"/>
      <c r="AN150" s="233"/>
      <c r="AO150" s="233"/>
      <c r="AP150" s="233"/>
      <c r="AQ150" s="233"/>
      <c r="AR150" s="233"/>
      <c r="AS150" s="233"/>
      <c r="AT150" s="233"/>
      <c r="AU150" s="233"/>
      <c r="AV150" s="233"/>
      <c r="AW150" s="233"/>
      <c r="AX150" s="233"/>
      <c r="AY150" s="233"/>
      <c r="AZ150" s="233"/>
      <c r="BA150" s="233"/>
    </row>
    <row r="151" spans="1:53" ht="19.5" customHeight="1">
      <c r="A151" s="233"/>
      <c r="B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233"/>
      <c r="AH151" s="233"/>
      <c r="AI151" s="233"/>
      <c r="AJ151" s="233"/>
      <c r="AK151" s="233"/>
      <c r="AL151" s="233"/>
      <c r="AM151" s="233"/>
      <c r="AN151" s="233"/>
      <c r="AO151" s="233"/>
      <c r="AP151" s="233"/>
      <c r="AQ151" s="233"/>
      <c r="AR151" s="233"/>
      <c r="AS151" s="233"/>
      <c r="AT151" s="233"/>
      <c r="AU151" s="233"/>
      <c r="AV151" s="233"/>
      <c r="AW151" s="233"/>
      <c r="AX151" s="233"/>
      <c r="AY151" s="233"/>
      <c r="AZ151" s="233"/>
      <c r="BA151" s="233"/>
    </row>
    <row r="152" spans="1:53" ht="19.5" customHeight="1">
      <c r="A152" s="233"/>
      <c r="B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233"/>
      <c r="AH152" s="233"/>
      <c r="AI152" s="233"/>
      <c r="AJ152" s="233"/>
      <c r="AK152" s="233"/>
      <c r="AL152" s="233"/>
      <c r="AM152" s="233"/>
      <c r="AN152" s="233"/>
      <c r="AO152" s="233"/>
      <c r="AP152" s="233"/>
      <c r="AQ152" s="233"/>
      <c r="AR152" s="233"/>
      <c r="AS152" s="233"/>
      <c r="AT152" s="233"/>
      <c r="AU152" s="233"/>
      <c r="AV152" s="233"/>
      <c r="AW152" s="233"/>
      <c r="AX152" s="233"/>
      <c r="AY152" s="233"/>
      <c r="AZ152" s="233"/>
      <c r="BA152" s="233"/>
    </row>
    <row r="153" spans="1:53" ht="19.5" customHeight="1">
      <c r="A153" s="233"/>
      <c r="B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233"/>
      <c r="AH153" s="233"/>
      <c r="AI153" s="233"/>
      <c r="AJ153" s="233"/>
      <c r="AK153" s="233"/>
      <c r="AL153" s="233"/>
      <c r="AM153" s="233"/>
      <c r="AN153" s="233"/>
      <c r="AO153" s="233"/>
      <c r="AP153" s="233"/>
      <c r="AQ153" s="233"/>
      <c r="AR153" s="233"/>
      <c r="AS153" s="233"/>
      <c r="AT153" s="233"/>
      <c r="AU153" s="233"/>
      <c r="AV153" s="233"/>
      <c r="AW153" s="233"/>
      <c r="AX153" s="233"/>
      <c r="AY153" s="233"/>
      <c r="AZ153" s="233"/>
      <c r="BA153" s="233"/>
    </row>
    <row r="154" spans="1:53" ht="19.5" customHeight="1">
      <c r="A154" s="233"/>
      <c r="B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233"/>
      <c r="AH154" s="233"/>
      <c r="AI154" s="233"/>
      <c r="AJ154" s="233"/>
      <c r="AK154" s="233"/>
      <c r="AL154" s="233"/>
      <c r="AM154" s="233"/>
      <c r="AN154" s="233"/>
      <c r="AO154" s="233"/>
      <c r="AP154" s="233"/>
      <c r="AQ154" s="233"/>
      <c r="AR154" s="233"/>
      <c r="AS154" s="233"/>
      <c r="AT154" s="233"/>
      <c r="AU154" s="233"/>
      <c r="AV154" s="233"/>
      <c r="AW154" s="233"/>
      <c r="AX154" s="233"/>
      <c r="AY154" s="233"/>
      <c r="AZ154" s="233"/>
      <c r="BA154" s="233"/>
    </row>
    <row r="155" spans="1:53" ht="19.5" customHeight="1">
      <c r="A155" s="233"/>
      <c r="B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233"/>
      <c r="AH155" s="233"/>
      <c r="AI155" s="233"/>
      <c r="AJ155" s="233"/>
      <c r="AK155" s="233"/>
      <c r="AL155" s="233"/>
      <c r="AM155" s="233"/>
      <c r="AN155" s="233"/>
      <c r="AO155" s="233"/>
      <c r="AP155" s="233"/>
      <c r="AQ155" s="233"/>
      <c r="AR155" s="233"/>
      <c r="AS155" s="233"/>
      <c r="AT155" s="233"/>
      <c r="AU155" s="233"/>
      <c r="AV155" s="233"/>
      <c r="AW155" s="233"/>
      <c r="AX155" s="233"/>
      <c r="AY155" s="233"/>
      <c r="AZ155" s="233"/>
      <c r="BA155" s="233"/>
    </row>
    <row r="156" spans="1:53" ht="19.5" customHeight="1">
      <c r="A156" s="233"/>
      <c r="B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233"/>
      <c r="AH156" s="233"/>
      <c r="AI156" s="233"/>
      <c r="AJ156" s="233"/>
      <c r="AK156" s="233"/>
      <c r="AL156" s="233"/>
      <c r="AM156" s="233"/>
      <c r="AN156" s="233"/>
      <c r="AO156" s="233"/>
      <c r="AP156" s="233"/>
      <c r="AQ156" s="233"/>
      <c r="AR156" s="233"/>
      <c r="AS156" s="233"/>
      <c r="AT156" s="233"/>
      <c r="AU156" s="233"/>
      <c r="AV156" s="233"/>
      <c r="AW156" s="233"/>
      <c r="AX156" s="233"/>
      <c r="AY156" s="233"/>
      <c r="AZ156" s="233"/>
      <c r="BA156" s="233"/>
    </row>
    <row r="157" spans="1:53" ht="19.5" customHeight="1">
      <c r="A157" s="233"/>
      <c r="B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233"/>
      <c r="AH157" s="233"/>
      <c r="AI157" s="233"/>
      <c r="AJ157" s="233"/>
      <c r="AK157" s="233"/>
      <c r="AL157" s="233"/>
      <c r="AM157" s="233"/>
      <c r="AN157" s="233"/>
      <c r="AO157" s="233"/>
      <c r="AP157" s="233"/>
      <c r="AQ157" s="233"/>
      <c r="AR157" s="233"/>
      <c r="AS157" s="233"/>
      <c r="AT157" s="233"/>
      <c r="AU157" s="233"/>
      <c r="AV157" s="233"/>
      <c r="AW157" s="233"/>
      <c r="AX157" s="233"/>
      <c r="AY157" s="233"/>
      <c r="AZ157" s="233"/>
      <c r="BA157" s="233"/>
    </row>
    <row r="158" spans="1:53" ht="19.5" customHeight="1">
      <c r="A158" s="233"/>
      <c r="B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233"/>
      <c r="AH158" s="233"/>
      <c r="AI158" s="233"/>
      <c r="AJ158" s="233"/>
      <c r="AK158" s="233"/>
      <c r="AL158" s="233"/>
      <c r="AM158" s="233"/>
      <c r="AN158" s="233"/>
      <c r="AO158" s="233"/>
      <c r="AP158" s="233"/>
      <c r="AQ158" s="233"/>
      <c r="AR158" s="233"/>
      <c r="AS158" s="233"/>
      <c r="AT158" s="233"/>
      <c r="AU158" s="233"/>
      <c r="AV158" s="233"/>
      <c r="AW158" s="233"/>
      <c r="AX158" s="233"/>
      <c r="AY158" s="233"/>
      <c r="AZ158" s="233"/>
      <c r="BA158" s="233"/>
    </row>
    <row r="159" spans="1:53" ht="19.5" customHeight="1">
      <c r="A159" s="233"/>
      <c r="B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233"/>
      <c r="AH159" s="233"/>
      <c r="AI159" s="233"/>
      <c r="AJ159" s="233"/>
      <c r="AK159" s="233"/>
      <c r="AL159" s="233"/>
      <c r="AM159" s="233"/>
      <c r="AN159" s="233"/>
      <c r="AO159" s="233"/>
      <c r="AP159" s="233"/>
      <c r="AQ159" s="233"/>
      <c r="AR159" s="233"/>
      <c r="AS159" s="233"/>
      <c r="AT159" s="233"/>
      <c r="AU159" s="233"/>
      <c r="AV159" s="233"/>
      <c r="AW159" s="233"/>
      <c r="AX159" s="233"/>
      <c r="AY159" s="233"/>
      <c r="AZ159" s="233"/>
      <c r="BA159" s="233"/>
    </row>
    <row r="160" spans="1:53" ht="19.5" customHeight="1">
      <c r="A160" s="233"/>
      <c r="B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  <c r="AK160" s="233"/>
      <c r="AL160" s="233"/>
      <c r="AM160" s="233"/>
      <c r="AN160" s="233"/>
      <c r="AO160" s="233"/>
      <c r="AP160" s="233"/>
      <c r="AQ160" s="233"/>
      <c r="AR160" s="233"/>
      <c r="AS160" s="233"/>
      <c r="AT160" s="233"/>
      <c r="AU160" s="233"/>
      <c r="AV160" s="233"/>
      <c r="AW160" s="233"/>
      <c r="AX160" s="233"/>
      <c r="AY160" s="233"/>
      <c r="AZ160" s="233"/>
      <c r="BA160" s="233"/>
    </row>
    <row r="161" spans="1:53" ht="19.5" customHeight="1">
      <c r="A161" s="233"/>
      <c r="B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3"/>
      <c r="AK161" s="233"/>
      <c r="AL161" s="233"/>
      <c r="AM161" s="233"/>
      <c r="AN161" s="233"/>
      <c r="AO161" s="233"/>
      <c r="AP161" s="233"/>
      <c r="AQ161" s="233"/>
      <c r="AR161" s="233"/>
      <c r="AS161" s="233"/>
      <c r="AT161" s="233"/>
      <c r="AU161" s="233"/>
      <c r="AV161" s="233"/>
      <c r="AW161" s="233"/>
      <c r="AX161" s="233"/>
      <c r="AY161" s="233"/>
      <c r="AZ161" s="233"/>
      <c r="BA161" s="233"/>
    </row>
    <row r="162" spans="1:53" ht="19.5" customHeight="1">
      <c r="A162" s="233"/>
      <c r="B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233"/>
      <c r="AH162" s="233"/>
      <c r="AI162" s="233"/>
      <c r="AJ162" s="233"/>
      <c r="AK162" s="233"/>
      <c r="AL162" s="233"/>
      <c r="AM162" s="233"/>
      <c r="AN162" s="233"/>
      <c r="AO162" s="233"/>
      <c r="AP162" s="233"/>
      <c r="AQ162" s="233"/>
      <c r="AR162" s="233"/>
      <c r="AS162" s="233"/>
      <c r="AT162" s="233"/>
      <c r="AU162" s="233"/>
      <c r="AV162" s="233"/>
      <c r="AW162" s="233"/>
      <c r="AX162" s="233"/>
      <c r="AY162" s="233"/>
      <c r="AZ162" s="233"/>
      <c r="BA162" s="233"/>
    </row>
    <row r="163" spans="1:53" ht="19.5" customHeight="1">
      <c r="A163" s="233"/>
      <c r="B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233"/>
      <c r="AH163" s="233"/>
      <c r="AI163" s="233"/>
      <c r="AJ163" s="233"/>
      <c r="AK163" s="233"/>
      <c r="AL163" s="233"/>
      <c r="AM163" s="233"/>
      <c r="AN163" s="233"/>
      <c r="AO163" s="233"/>
      <c r="AP163" s="233"/>
      <c r="AQ163" s="233"/>
      <c r="AR163" s="233"/>
      <c r="AS163" s="233"/>
      <c r="AT163" s="233"/>
      <c r="AU163" s="233"/>
      <c r="AV163" s="233"/>
      <c r="AW163" s="233"/>
      <c r="AX163" s="233"/>
      <c r="AY163" s="233"/>
      <c r="AZ163" s="233"/>
      <c r="BA163" s="233"/>
    </row>
    <row r="164" spans="1:53" ht="19.5" customHeight="1">
      <c r="A164" s="233"/>
      <c r="B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233"/>
      <c r="AH164" s="233"/>
      <c r="AI164" s="233"/>
      <c r="AJ164" s="233"/>
      <c r="AK164" s="233"/>
      <c r="AL164" s="233"/>
      <c r="AM164" s="233"/>
      <c r="AN164" s="233"/>
      <c r="AO164" s="233"/>
      <c r="AP164" s="233"/>
      <c r="AQ164" s="233"/>
      <c r="AR164" s="233"/>
      <c r="AS164" s="233"/>
      <c r="AT164" s="233"/>
      <c r="AU164" s="233"/>
      <c r="AV164" s="233"/>
      <c r="AW164" s="233"/>
      <c r="AX164" s="233"/>
      <c r="AY164" s="233"/>
      <c r="AZ164" s="233"/>
      <c r="BA164" s="233"/>
    </row>
    <row r="165" spans="1:53" ht="19.5" customHeight="1">
      <c r="A165" s="233"/>
      <c r="B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233"/>
      <c r="AH165" s="233"/>
      <c r="AI165" s="233"/>
      <c r="AJ165" s="233"/>
      <c r="AK165" s="233"/>
      <c r="AL165" s="233"/>
      <c r="AM165" s="233"/>
      <c r="AN165" s="233"/>
      <c r="AO165" s="233"/>
      <c r="AP165" s="233"/>
      <c r="AQ165" s="233"/>
      <c r="AR165" s="233"/>
      <c r="AS165" s="233"/>
      <c r="AT165" s="233"/>
      <c r="AU165" s="233"/>
      <c r="AV165" s="233"/>
      <c r="AW165" s="233"/>
      <c r="AX165" s="233"/>
      <c r="AY165" s="233"/>
      <c r="AZ165" s="233"/>
      <c r="BA165" s="233"/>
    </row>
    <row r="166" spans="1:53" ht="19.5" customHeight="1">
      <c r="A166" s="233"/>
      <c r="B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  <c r="AH166" s="233"/>
      <c r="AI166" s="233"/>
      <c r="AJ166" s="233"/>
      <c r="AK166" s="233"/>
      <c r="AL166" s="233"/>
      <c r="AM166" s="233"/>
      <c r="AN166" s="233"/>
      <c r="AO166" s="233"/>
      <c r="AP166" s="233"/>
      <c r="AQ166" s="233"/>
      <c r="AR166" s="233"/>
      <c r="AS166" s="233"/>
      <c r="AT166" s="233"/>
      <c r="AU166" s="233"/>
      <c r="AV166" s="233"/>
      <c r="AW166" s="233"/>
      <c r="AX166" s="233"/>
      <c r="AY166" s="233"/>
      <c r="AZ166" s="233"/>
      <c r="BA166" s="233"/>
    </row>
    <row r="167" spans="1:53" ht="19.5" customHeight="1">
      <c r="A167" s="233"/>
      <c r="B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233"/>
      <c r="AH167" s="233"/>
      <c r="AI167" s="233"/>
      <c r="AJ167" s="233"/>
      <c r="AK167" s="233"/>
      <c r="AL167" s="233"/>
      <c r="AM167" s="233"/>
      <c r="AN167" s="233"/>
      <c r="AO167" s="233"/>
      <c r="AP167" s="233"/>
      <c r="AQ167" s="233"/>
      <c r="AR167" s="233"/>
      <c r="AS167" s="233"/>
      <c r="AT167" s="233"/>
      <c r="AU167" s="233"/>
      <c r="AV167" s="233"/>
      <c r="AW167" s="233"/>
      <c r="AX167" s="233"/>
      <c r="AY167" s="233"/>
      <c r="AZ167" s="233"/>
      <c r="BA167" s="233"/>
    </row>
    <row r="168" spans="1:53" ht="19.5" customHeight="1">
      <c r="A168" s="233"/>
      <c r="B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233"/>
      <c r="AH168" s="233"/>
      <c r="AI168" s="233"/>
      <c r="AJ168" s="233"/>
      <c r="AK168" s="233"/>
      <c r="AL168" s="233"/>
      <c r="AM168" s="233"/>
      <c r="AN168" s="233"/>
      <c r="AO168" s="233"/>
      <c r="AP168" s="233"/>
      <c r="AQ168" s="233"/>
      <c r="AR168" s="233"/>
      <c r="AS168" s="233"/>
      <c r="AT168" s="233"/>
      <c r="AU168" s="233"/>
      <c r="AV168" s="233"/>
      <c r="AW168" s="233"/>
      <c r="AX168" s="233"/>
      <c r="AY168" s="233"/>
      <c r="AZ168" s="233"/>
      <c r="BA168" s="233"/>
    </row>
    <row r="169" spans="1:53" ht="19.5" customHeight="1">
      <c r="A169" s="233"/>
      <c r="B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233"/>
      <c r="AH169" s="233"/>
      <c r="AI169" s="233"/>
      <c r="AJ169" s="233"/>
      <c r="AK169" s="233"/>
      <c r="AL169" s="233"/>
      <c r="AM169" s="233"/>
      <c r="AN169" s="233"/>
      <c r="AO169" s="233"/>
      <c r="AP169" s="233"/>
      <c r="AQ169" s="233"/>
      <c r="AR169" s="233"/>
      <c r="AS169" s="233"/>
      <c r="AT169" s="233"/>
      <c r="AU169" s="233"/>
      <c r="AV169" s="233"/>
      <c r="AW169" s="233"/>
      <c r="AX169" s="233"/>
      <c r="AY169" s="233"/>
      <c r="AZ169" s="233"/>
      <c r="BA169" s="233"/>
    </row>
    <row r="170" spans="1:53" ht="19.5" customHeight="1">
      <c r="A170" s="233"/>
      <c r="B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233"/>
      <c r="AH170" s="233"/>
      <c r="AI170" s="233"/>
      <c r="AJ170" s="233"/>
      <c r="AK170" s="233"/>
      <c r="AL170" s="233"/>
      <c r="AM170" s="233"/>
      <c r="AN170" s="233"/>
      <c r="AO170" s="233"/>
      <c r="AP170" s="233"/>
      <c r="AQ170" s="233"/>
      <c r="AR170" s="233"/>
      <c r="AS170" s="233"/>
      <c r="AT170" s="233"/>
      <c r="AU170" s="233"/>
      <c r="AV170" s="233"/>
      <c r="AW170" s="233"/>
      <c r="AX170" s="233"/>
      <c r="AY170" s="233"/>
      <c r="AZ170" s="233"/>
      <c r="BA170" s="233"/>
    </row>
    <row r="171" spans="1:53" ht="19.5" customHeight="1">
      <c r="A171" s="233"/>
      <c r="B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3"/>
      <c r="AK171" s="233"/>
      <c r="AL171" s="233"/>
      <c r="AM171" s="233"/>
      <c r="AN171" s="233"/>
      <c r="AO171" s="233"/>
      <c r="AP171" s="233"/>
      <c r="AQ171" s="233"/>
      <c r="AR171" s="233"/>
      <c r="AS171" s="233"/>
      <c r="AT171" s="233"/>
      <c r="AU171" s="233"/>
      <c r="AV171" s="233"/>
      <c r="AW171" s="233"/>
      <c r="AX171" s="233"/>
      <c r="AY171" s="233"/>
      <c r="AZ171" s="233"/>
      <c r="BA171" s="233"/>
    </row>
    <row r="172" spans="1:53" ht="19.5" customHeight="1">
      <c r="A172" s="233"/>
      <c r="B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233"/>
      <c r="AH172" s="233"/>
      <c r="AI172" s="233"/>
      <c r="AJ172" s="233"/>
      <c r="AK172" s="233"/>
      <c r="AL172" s="233"/>
      <c r="AM172" s="233"/>
      <c r="AN172" s="233"/>
      <c r="AO172" s="233"/>
      <c r="AP172" s="233"/>
      <c r="AQ172" s="233"/>
      <c r="AR172" s="233"/>
      <c r="AS172" s="233"/>
      <c r="AT172" s="233"/>
      <c r="AU172" s="233"/>
      <c r="AV172" s="233"/>
      <c r="AW172" s="233"/>
      <c r="AX172" s="233"/>
      <c r="AY172" s="233"/>
      <c r="AZ172" s="233"/>
      <c r="BA172" s="233"/>
    </row>
    <row r="173" spans="1:53" ht="19.5" customHeight="1">
      <c r="A173" s="233"/>
      <c r="B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233"/>
      <c r="AH173" s="233"/>
      <c r="AI173" s="233"/>
      <c r="AJ173" s="233"/>
      <c r="AK173" s="233"/>
      <c r="AL173" s="233"/>
      <c r="AM173" s="233"/>
      <c r="AN173" s="233"/>
      <c r="AO173" s="233"/>
      <c r="AP173" s="233"/>
      <c r="AQ173" s="233"/>
      <c r="AR173" s="233"/>
      <c r="AS173" s="233"/>
      <c r="AT173" s="233"/>
      <c r="AU173" s="233"/>
      <c r="AV173" s="233"/>
      <c r="AW173" s="233"/>
      <c r="AX173" s="233"/>
      <c r="AY173" s="233"/>
      <c r="AZ173" s="233"/>
      <c r="BA173" s="233"/>
    </row>
    <row r="174" spans="1:53" ht="19.5" customHeight="1">
      <c r="A174" s="233"/>
      <c r="B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233"/>
      <c r="AH174" s="233"/>
      <c r="AI174" s="233"/>
      <c r="AJ174" s="233"/>
      <c r="AK174" s="233"/>
      <c r="AL174" s="233"/>
      <c r="AM174" s="233"/>
      <c r="AN174" s="233"/>
      <c r="AO174" s="233"/>
      <c r="AP174" s="233"/>
      <c r="AQ174" s="233"/>
      <c r="AR174" s="233"/>
      <c r="AS174" s="233"/>
      <c r="AT174" s="233"/>
      <c r="AU174" s="233"/>
      <c r="AV174" s="233"/>
      <c r="AW174" s="233"/>
      <c r="AX174" s="233"/>
      <c r="AY174" s="233"/>
      <c r="AZ174" s="233"/>
      <c r="BA174" s="233"/>
    </row>
    <row r="175" spans="1:53" ht="19.5" customHeight="1">
      <c r="A175" s="233"/>
      <c r="B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233"/>
      <c r="AH175" s="233"/>
      <c r="AI175" s="233"/>
      <c r="AJ175" s="233"/>
      <c r="AK175" s="233"/>
      <c r="AL175" s="233"/>
      <c r="AM175" s="233"/>
      <c r="AN175" s="233"/>
      <c r="AO175" s="233"/>
      <c r="AP175" s="233"/>
      <c r="AQ175" s="233"/>
      <c r="AR175" s="233"/>
      <c r="AS175" s="233"/>
      <c r="AT175" s="233"/>
      <c r="AU175" s="233"/>
      <c r="AV175" s="233"/>
      <c r="AW175" s="233"/>
      <c r="AX175" s="233"/>
      <c r="AY175" s="233"/>
      <c r="AZ175" s="233"/>
      <c r="BA175" s="233"/>
    </row>
    <row r="176" spans="1:53" ht="19.5" customHeight="1">
      <c r="A176" s="233"/>
      <c r="B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233"/>
      <c r="AH176" s="233"/>
      <c r="AI176" s="233"/>
      <c r="AJ176" s="233"/>
      <c r="AK176" s="233"/>
      <c r="AL176" s="233"/>
      <c r="AM176" s="233"/>
      <c r="AN176" s="233"/>
      <c r="AO176" s="233"/>
      <c r="AP176" s="233"/>
      <c r="AQ176" s="233"/>
      <c r="AR176" s="233"/>
      <c r="AS176" s="233"/>
      <c r="AT176" s="233"/>
      <c r="AU176" s="233"/>
      <c r="AV176" s="233"/>
      <c r="AW176" s="233"/>
      <c r="AX176" s="233"/>
      <c r="AY176" s="233"/>
      <c r="AZ176" s="233"/>
      <c r="BA176" s="233"/>
    </row>
    <row r="177" spans="1:53" ht="19.5" customHeight="1">
      <c r="A177" s="233"/>
      <c r="B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233"/>
      <c r="AH177" s="233"/>
      <c r="AI177" s="233"/>
      <c r="AJ177" s="233"/>
      <c r="AK177" s="233"/>
      <c r="AL177" s="233"/>
      <c r="AM177" s="233"/>
      <c r="AN177" s="233"/>
      <c r="AO177" s="233"/>
      <c r="AP177" s="233"/>
      <c r="AQ177" s="233"/>
      <c r="AR177" s="233"/>
      <c r="AS177" s="233"/>
      <c r="AT177" s="233"/>
      <c r="AU177" s="233"/>
      <c r="AV177" s="233"/>
      <c r="AW177" s="233"/>
      <c r="AX177" s="233"/>
      <c r="AY177" s="233"/>
      <c r="AZ177" s="233"/>
      <c r="BA177" s="233"/>
    </row>
    <row r="178" spans="1:53" ht="19.5" customHeight="1">
      <c r="A178" s="233"/>
      <c r="B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  <c r="AU178" s="233"/>
      <c r="AV178" s="233"/>
      <c r="AW178" s="233"/>
      <c r="AX178" s="233"/>
      <c r="AY178" s="233"/>
      <c r="AZ178" s="233"/>
      <c r="BA178" s="233"/>
    </row>
    <row r="179" spans="1:53" ht="19.5" customHeight="1">
      <c r="A179" s="233"/>
      <c r="B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233"/>
      <c r="AH179" s="233"/>
      <c r="AI179" s="233"/>
      <c r="AJ179" s="233"/>
      <c r="AK179" s="233"/>
      <c r="AL179" s="233"/>
      <c r="AM179" s="233"/>
      <c r="AN179" s="233"/>
      <c r="AO179" s="233"/>
      <c r="AP179" s="233"/>
      <c r="AQ179" s="233"/>
      <c r="AR179" s="233"/>
      <c r="AS179" s="233"/>
      <c r="AT179" s="233"/>
      <c r="AU179" s="233"/>
      <c r="AV179" s="233"/>
      <c r="AW179" s="233"/>
      <c r="AX179" s="233"/>
      <c r="AY179" s="233"/>
      <c r="AZ179" s="233"/>
      <c r="BA179" s="233"/>
    </row>
    <row r="180" spans="1:53" ht="19.5" customHeight="1">
      <c r="A180" s="233"/>
      <c r="B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233"/>
      <c r="AH180" s="233"/>
      <c r="AI180" s="233"/>
      <c r="AJ180" s="233"/>
      <c r="AK180" s="233"/>
      <c r="AL180" s="233"/>
      <c r="AM180" s="233"/>
      <c r="AN180" s="233"/>
      <c r="AO180" s="233"/>
      <c r="AP180" s="233"/>
      <c r="AQ180" s="233"/>
      <c r="AR180" s="233"/>
      <c r="AS180" s="233"/>
      <c r="AT180" s="233"/>
      <c r="AU180" s="233"/>
      <c r="AV180" s="233"/>
      <c r="AW180" s="233"/>
      <c r="AX180" s="233"/>
      <c r="AY180" s="233"/>
      <c r="AZ180" s="233"/>
      <c r="BA180" s="233"/>
    </row>
    <row r="181" spans="1:53" ht="19.5" customHeight="1">
      <c r="A181" s="233"/>
      <c r="B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233"/>
      <c r="AH181" s="233"/>
      <c r="AI181" s="233"/>
      <c r="AJ181" s="233"/>
      <c r="AK181" s="233"/>
      <c r="AL181" s="233"/>
      <c r="AM181" s="233"/>
      <c r="AN181" s="233"/>
      <c r="AO181" s="233"/>
      <c r="AP181" s="233"/>
      <c r="AQ181" s="233"/>
      <c r="AR181" s="233"/>
      <c r="AS181" s="233"/>
      <c r="AT181" s="233"/>
      <c r="AU181" s="233"/>
      <c r="AV181" s="233"/>
      <c r="AW181" s="233"/>
      <c r="AX181" s="233"/>
      <c r="AY181" s="233"/>
      <c r="AZ181" s="233"/>
      <c r="BA181" s="233"/>
    </row>
    <row r="182" spans="1:53" ht="19.5" customHeight="1">
      <c r="A182" s="233"/>
      <c r="B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233"/>
      <c r="AH182" s="233"/>
      <c r="AI182" s="233"/>
      <c r="AJ182" s="233"/>
      <c r="AK182" s="233"/>
      <c r="AL182" s="233"/>
      <c r="AM182" s="233"/>
      <c r="AN182" s="233"/>
      <c r="AO182" s="233"/>
      <c r="AP182" s="233"/>
      <c r="AQ182" s="233"/>
      <c r="AR182" s="233"/>
      <c r="AS182" s="233"/>
      <c r="AT182" s="233"/>
      <c r="AU182" s="233"/>
      <c r="AV182" s="233"/>
      <c r="AW182" s="233"/>
      <c r="AX182" s="233"/>
      <c r="AY182" s="233"/>
      <c r="AZ182" s="233"/>
      <c r="BA182" s="233"/>
    </row>
    <row r="183" spans="1:53" ht="19.5" customHeight="1">
      <c r="A183" s="233"/>
      <c r="B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233"/>
      <c r="AH183" s="233"/>
      <c r="AI183" s="233"/>
      <c r="AJ183" s="233"/>
      <c r="AK183" s="233"/>
      <c r="AL183" s="233"/>
      <c r="AM183" s="233"/>
      <c r="AN183" s="233"/>
      <c r="AO183" s="233"/>
      <c r="AP183" s="233"/>
      <c r="AQ183" s="233"/>
      <c r="AR183" s="233"/>
      <c r="AS183" s="233"/>
      <c r="AT183" s="233"/>
      <c r="AU183" s="233"/>
      <c r="AV183" s="233"/>
      <c r="AW183" s="233"/>
      <c r="AX183" s="233"/>
      <c r="AY183" s="233"/>
      <c r="AZ183" s="233"/>
      <c r="BA183" s="233"/>
    </row>
    <row r="184" spans="1:53" ht="19.5" customHeight="1">
      <c r="A184" s="233"/>
      <c r="B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233"/>
      <c r="AH184" s="233"/>
      <c r="AI184" s="233"/>
      <c r="AJ184" s="233"/>
      <c r="AK184" s="233"/>
      <c r="AL184" s="233"/>
      <c r="AM184" s="233"/>
      <c r="AN184" s="233"/>
      <c r="AO184" s="233"/>
      <c r="AP184" s="233"/>
      <c r="AQ184" s="233"/>
      <c r="AR184" s="233"/>
      <c r="AS184" s="233"/>
      <c r="AT184" s="233"/>
      <c r="AU184" s="233"/>
      <c r="AV184" s="233"/>
      <c r="AW184" s="233"/>
      <c r="AX184" s="233"/>
      <c r="AY184" s="233"/>
      <c r="AZ184" s="233"/>
      <c r="BA184" s="233"/>
    </row>
    <row r="185" spans="1:53" ht="19.5" customHeight="1">
      <c r="A185" s="233"/>
      <c r="B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233"/>
      <c r="AH185" s="233"/>
      <c r="AI185" s="233"/>
      <c r="AJ185" s="233"/>
      <c r="AK185" s="233"/>
      <c r="AL185" s="233"/>
      <c r="AM185" s="233"/>
      <c r="AN185" s="233"/>
      <c r="AO185" s="233"/>
      <c r="AP185" s="233"/>
      <c r="AQ185" s="233"/>
      <c r="AR185" s="233"/>
      <c r="AS185" s="233"/>
      <c r="AT185" s="233"/>
      <c r="AU185" s="233"/>
      <c r="AV185" s="233"/>
      <c r="AW185" s="233"/>
      <c r="AX185" s="233"/>
      <c r="AY185" s="233"/>
      <c r="AZ185" s="233"/>
      <c r="BA185" s="233"/>
    </row>
    <row r="186" spans="1:53" ht="19.5" customHeight="1">
      <c r="A186" s="233"/>
      <c r="B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233"/>
      <c r="AH186" s="233"/>
      <c r="AI186" s="233"/>
      <c r="AJ186" s="233"/>
      <c r="AK186" s="233"/>
      <c r="AL186" s="233"/>
      <c r="AM186" s="233"/>
      <c r="AN186" s="233"/>
      <c r="AO186" s="233"/>
      <c r="AP186" s="233"/>
      <c r="AQ186" s="233"/>
      <c r="AR186" s="233"/>
      <c r="AS186" s="233"/>
      <c r="AT186" s="233"/>
      <c r="AU186" s="233"/>
      <c r="AV186" s="233"/>
      <c r="AW186" s="233"/>
      <c r="AX186" s="233"/>
      <c r="AY186" s="233"/>
      <c r="AZ186" s="233"/>
      <c r="BA186" s="233"/>
    </row>
    <row r="187" spans="1:53" ht="19.5" customHeight="1">
      <c r="A187" s="233"/>
      <c r="B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  <c r="AU187" s="233"/>
      <c r="AV187" s="233"/>
      <c r="AW187" s="233"/>
      <c r="AX187" s="233"/>
      <c r="AY187" s="233"/>
      <c r="AZ187" s="233"/>
      <c r="BA187" s="233"/>
    </row>
    <row r="188" spans="1:53" ht="19.5" customHeight="1">
      <c r="A188" s="233"/>
      <c r="B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233"/>
      <c r="AH188" s="233"/>
      <c r="AI188" s="233"/>
      <c r="AJ188" s="233"/>
      <c r="AK188" s="233"/>
      <c r="AL188" s="233"/>
      <c r="AM188" s="233"/>
      <c r="AN188" s="233"/>
      <c r="AO188" s="233"/>
      <c r="AP188" s="233"/>
      <c r="AQ188" s="233"/>
      <c r="AR188" s="233"/>
      <c r="AS188" s="233"/>
      <c r="AT188" s="233"/>
      <c r="AU188" s="233"/>
      <c r="AV188" s="233"/>
      <c r="AW188" s="233"/>
      <c r="AX188" s="233"/>
      <c r="AY188" s="233"/>
      <c r="AZ188" s="233"/>
      <c r="BA188" s="233"/>
    </row>
    <row r="189" spans="1:53" ht="19.5" customHeight="1">
      <c r="A189" s="233"/>
      <c r="B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233"/>
      <c r="AH189" s="233"/>
      <c r="AI189" s="233"/>
      <c r="AJ189" s="233"/>
      <c r="AK189" s="233"/>
      <c r="AL189" s="233"/>
      <c r="AM189" s="233"/>
      <c r="AN189" s="233"/>
      <c r="AO189" s="233"/>
      <c r="AP189" s="233"/>
      <c r="AQ189" s="233"/>
      <c r="AR189" s="233"/>
      <c r="AS189" s="233"/>
      <c r="AT189" s="233"/>
      <c r="AU189" s="233"/>
      <c r="AV189" s="233"/>
      <c r="AW189" s="233"/>
      <c r="AX189" s="233"/>
      <c r="AY189" s="233"/>
      <c r="AZ189" s="233"/>
      <c r="BA189" s="233"/>
    </row>
    <row r="190" spans="1:53" ht="19.5" customHeight="1">
      <c r="A190" s="233"/>
      <c r="B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233"/>
      <c r="AH190" s="233"/>
      <c r="AI190" s="233"/>
      <c r="AJ190" s="233"/>
      <c r="AK190" s="233"/>
      <c r="AL190" s="233"/>
      <c r="AM190" s="233"/>
      <c r="AN190" s="233"/>
      <c r="AO190" s="233"/>
      <c r="AP190" s="233"/>
      <c r="AQ190" s="233"/>
      <c r="AR190" s="233"/>
      <c r="AS190" s="233"/>
      <c r="AT190" s="233"/>
      <c r="AU190" s="233"/>
      <c r="AV190" s="233"/>
      <c r="AW190" s="233"/>
      <c r="AX190" s="233"/>
      <c r="AY190" s="233"/>
      <c r="AZ190" s="233"/>
      <c r="BA190" s="233"/>
    </row>
    <row r="191" spans="1:53" ht="19.5" customHeight="1">
      <c r="A191" s="233"/>
      <c r="B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233"/>
      <c r="AH191" s="233"/>
      <c r="AI191" s="233"/>
      <c r="AJ191" s="233"/>
      <c r="AK191" s="233"/>
      <c r="AL191" s="233"/>
      <c r="AM191" s="233"/>
      <c r="AN191" s="233"/>
      <c r="AO191" s="233"/>
      <c r="AP191" s="233"/>
      <c r="AQ191" s="233"/>
      <c r="AR191" s="233"/>
      <c r="AS191" s="233"/>
      <c r="AT191" s="233"/>
      <c r="AU191" s="233"/>
      <c r="AV191" s="233"/>
      <c r="AW191" s="233"/>
      <c r="AX191" s="233"/>
      <c r="AY191" s="233"/>
      <c r="AZ191" s="233"/>
      <c r="BA191" s="233"/>
    </row>
    <row r="192" spans="1:53" ht="19.5" customHeight="1">
      <c r="A192" s="233"/>
      <c r="B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233"/>
      <c r="AH192" s="233"/>
      <c r="AI192" s="233"/>
      <c r="AJ192" s="233"/>
      <c r="AK192" s="233"/>
      <c r="AL192" s="233"/>
      <c r="AM192" s="233"/>
      <c r="AN192" s="233"/>
      <c r="AO192" s="233"/>
      <c r="AP192" s="233"/>
      <c r="AQ192" s="233"/>
      <c r="AR192" s="233"/>
      <c r="AS192" s="233"/>
      <c r="AT192" s="233"/>
      <c r="AU192" s="233"/>
      <c r="AV192" s="233"/>
      <c r="AW192" s="233"/>
      <c r="AX192" s="233"/>
      <c r="AY192" s="233"/>
      <c r="AZ192" s="233"/>
      <c r="BA192" s="233"/>
    </row>
    <row r="193" spans="1:53" ht="19.5" customHeight="1">
      <c r="A193" s="233"/>
      <c r="B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233"/>
      <c r="AJ193" s="233"/>
      <c r="AK193" s="233"/>
      <c r="AL193" s="233"/>
      <c r="AM193" s="233"/>
      <c r="AN193" s="233"/>
      <c r="AO193" s="233"/>
      <c r="AP193" s="233"/>
      <c r="AQ193" s="233"/>
      <c r="AR193" s="233"/>
      <c r="AS193" s="233"/>
      <c r="AT193" s="233"/>
      <c r="AU193" s="233"/>
      <c r="AV193" s="233"/>
      <c r="AW193" s="233"/>
      <c r="AX193" s="233"/>
      <c r="AY193" s="233"/>
      <c r="AZ193" s="233"/>
      <c r="BA193" s="233"/>
    </row>
    <row r="194" spans="1:53" ht="19.5" customHeight="1">
      <c r="A194" s="233"/>
      <c r="B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233"/>
      <c r="AH194" s="233"/>
      <c r="AI194" s="233"/>
      <c r="AJ194" s="233"/>
      <c r="AK194" s="233"/>
      <c r="AL194" s="233"/>
      <c r="AM194" s="233"/>
      <c r="AN194" s="233"/>
      <c r="AO194" s="233"/>
      <c r="AP194" s="233"/>
      <c r="AQ194" s="233"/>
      <c r="AR194" s="233"/>
      <c r="AS194" s="233"/>
      <c r="AT194" s="233"/>
      <c r="AU194" s="233"/>
      <c r="AV194" s="233"/>
      <c r="AW194" s="233"/>
      <c r="AX194" s="233"/>
      <c r="AY194" s="233"/>
      <c r="AZ194" s="233"/>
      <c r="BA194" s="233"/>
    </row>
    <row r="195" spans="1:53" ht="19.5" customHeight="1">
      <c r="A195" s="233"/>
      <c r="B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233"/>
      <c r="AH195" s="233"/>
      <c r="AI195" s="233"/>
      <c r="AJ195" s="233"/>
      <c r="AK195" s="233"/>
      <c r="AL195" s="233"/>
      <c r="AM195" s="233"/>
      <c r="AN195" s="233"/>
      <c r="AO195" s="233"/>
      <c r="AP195" s="233"/>
      <c r="AQ195" s="233"/>
      <c r="AR195" s="233"/>
      <c r="AS195" s="233"/>
      <c r="AT195" s="233"/>
      <c r="AU195" s="233"/>
      <c r="AV195" s="233"/>
      <c r="AW195" s="233"/>
      <c r="AX195" s="233"/>
      <c r="AY195" s="233"/>
      <c r="AZ195" s="233"/>
      <c r="BA195" s="233"/>
    </row>
    <row r="196" spans="1:53" ht="19.5" customHeight="1">
      <c r="A196" s="233"/>
      <c r="B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  <c r="AU196" s="233"/>
      <c r="AV196" s="233"/>
      <c r="AW196" s="233"/>
      <c r="AX196" s="233"/>
      <c r="AY196" s="233"/>
      <c r="AZ196" s="233"/>
      <c r="BA196" s="233"/>
    </row>
    <row r="197" spans="1:53" ht="19.5" customHeight="1">
      <c r="A197" s="233"/>
      <c r="B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233"/>
      <c r="AH197" s="233"/>
      <c r="AI197" s="233"/>
      <c r="AJ197" s="233"/>
      <c r="AK197" s="233"/>
      <c r="AL197" s="233"/>
      <c r="AM197" s="233"/>
      <c r="AN197" s="233"/>
      <c r="AO197" s="233"/>
      <c r="AP197" s="233"/>
      <c r="AQ197" s="233"/>
      <c r="AR197" s="233"/>
      <c r="AS197" s="233"/>
      <c r="AT197" s="233"/>
      <c r="AU197" s="233"/>
      <c r="AV197" s="233"/>
      <c r="AW197" s="233"/>
      <c r="AX197" s="233"/>
      <c r="AY197" s="233"/>
      <c r="AZ197" s="233"/>
      <c r="BA197" s="233"/>
    </row>
    <row r="198" spans="1:53" ht="19.5" customHeight="1">
      <c r="A198" s="233"/>
      <c r="B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233"/>
      <c r="AH198" s="233"/>
      <c r="AI198" s="233"/>
      <c r="AJ198" s="233"/>
      <c r="AK198" s="233"/>
      <c r="AL198" s="233"/>
      <c r="AM198" s="233"/>
      <c r="AN198" s="233"/>
      <c r="AO198" s="233"/>
      <c r="AP198" s="233"/>
      <c r="AQ198" s="233"/>
      <c r="AR198" s="233"/>
      <c r="AS198" s="233"/>
      <c r="AT198" s="233"/>
      <c r="AU198" s="233"/>
      <c r="AV198" s="233"/>
      <c r="AW198" s="233"/>
      <c r="AX198" s="233"/>
      <c r="AY198" s="233"/>
      <c r="AZ198" s="233"/>
      <c r="BA198" s="233"/>
    </row>
    <row r="199" spans="1:53" ht="19.5" customHeight="1">
      <c r="A199" s="233"/>
      <c r="B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233"/>
      <c r="AH199" s="233"/>
      <c r="AI199" s="233"/>
      <c r="AJ199" s="233"/>
      <c r="AK199" s="233"/>
      <c r="AL199" s="233"/>
      <c r="AM199" s="233"/>
      <c r="AN199" s="233"/>
      <c r="AO199" s="233"/>
      <c r="AP199" s="233"/>
      <c r="AQ199" s="233"/>
      <c r="AR199" s="233"/>
      <c r="AS199" s="233"/>
      <c r="AT199" s="233"/>
      <c r="AU199" s="233"/>
      <c r="AV199" s="233"/>
      <c r="AW199" s="233"/>
      <c r="AX199" s="233"/>
      <c r="AY199" s="233"/>
      <c r="AZ199" s="233"/>
      <c r="BA199" s="233"/>
    </row>
    <row r="200" spans="1:53" ht="19.5" customHeight="1">
      <c r="A200" s="233"/>
      <c r="B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233"/>
      <c r="AH200" s="233"/>
      <c r="AI200" s="233"/>
      <c r="AJ200" s="233"/>
      <c r="AK200" s="233"/>
      <c r="AL200" s="233"/>
      <c r="AM200" s="233"/>
      <c r="AN200" s="233"/>
      <c r="AO200" s="233"/>
      <c r="AP200" s="233"/>
      <c r="AQ200" s="233"/>
      <c r="AR200" s="233"/>
      <c r="AS200" s="233"/>
      <c r="AT200" s="233"/>
      <c r="AU200" s="233"/>
      <c r="AV200" s="233"/>
      <c r="AW200" s="233"/>
      <c r="AX200" s="233"/>
      <c r="AY200" s="233"/>
      <c r="AZ200" s="233"/>
      <c r="BA200" s="233"/>
    </row>
    <row r="201" spans="1:53" ht="19.5" customHeight="1">
      <c r="A201" s="233"/>
      <c r="B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233"/>
      <c r="AH201" s="233"/>
      <c r="AI201" s="233"/>
      <c r="AJ201" s="233"/>
      <c r="AK201" s="233"/>
      <c r="AL201" s="233"/>
      <c r="AM201" s="233"/>
      <c r="AN201" s="233"/>
      <c r="AO201" s="233"/>
      <c r="AP201" s="233"/>
      <c r="AQ201" s="233"/>
      <c r="AR201" s="233"/>
      <c r="AS201" s="233"/>
      <c r="AT201" s="233"/>
      <c r="AU201" s="233"/>
      <c r="AV201" s="233"/>
      <c r="AW201" s="233"/>
      <c r="AX201" s="233"/>
      <c r="AY201" s="233"/>
      <c r="AZ201" s="233"/>
      <c r="BA201" s="233"/>
    </row>
    <row r="202" spans="1:53" ht="19.5" customHeight="1">
      <c r="A202" s="233"/>
      <c r="B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233"/>
      <c r="AH202" s="233"/>
      <c r="AI202" s="233"/>
      <c r="AJ202" s="233"/>
      <c r="AK202" s="233"/>
      <c r="AL202" s="233"/>
      <c r="AM202" s="233"/>
      <c r="AN202" s="233"/>
      <c r="AO202" s="233"/>
      <c r="AP202" s="233"/>
      <c r="AQ202" s="233"/>
      <c r="AR202" s="233"/>
      <c r="AS202" s="233"/>
      <c r="AT202" s="233"/>
      <c r="AU202" s="233"/>
      <c r="AV202" s="233"/>
      <c r="AW202" s="233"/>
      <c r="AX202" s="233"/>
      <c r="AY202" s="233"/>
      <c r="AZ202" s="233"/>
      <c r="BA202" s="233"/>
    </row>
    <row r="203" spans="1:53" ht="19.5" customHeight="1">
      <c r="A203" s="233"/>
      <c r="B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233"/>
      <c r="AH203" s="233"/>
      <c r="AI203" s="233"/>
      <c r="AJ203" s="233"/>
      <c r="AK203" s="233"/>
      <c r="AL203" s="233"/>
      <c r="AM203" s="233"/>
      <c r="AN203" s="233"/>
      <c r="AO203" s="233"/>
      <c r="AP203" s="233"/>
      <c r="AQ203" s="233"/>
      <c r="AR203" s="233"/>
      <c r="AS203" s="233"/>
      <c r="AT203" s="233"/>
      <c r="AU203" s="233"/>
      <c r="AV203" s="233"/>
      <c r="AW203" s="233"/>
      <c r="AX203" s="233"/>
      <c r="AY203" s="233"/>
      <c r="AZ203" s="233"/>
      <c r="BA203" s="233"/>
    </row>
    <row r="204" spans="1:53" ht="19.5" customHeight="1">
      <c r="A204" s="233"/>
      <c r="B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233"/>
      <c r="AH204" s="233"/>
      <c r="AI204" s="233"/>
      <c r="AJ204" s="233"/>
      <c r="AK204" s="233"/>
      <c r="AL204" s="233"/>
      <c r="AM204" s="233"/>
      <c r="AN204" s="233"/>
      <c r="AO204" s="233"/>
      <c r="AP204" s="233"/>
      <c r="AQ204" s="233"/>
      <c r="AR204" s="233"/>
      <c r="AS204" s="233"/>
      <c r="AT204" s="233"/>
      <c r="AU204" s="233"/>
      <c r="AV204" s="233"/>
      <c r="AW204" s="233"/>
      <c r="AX204" s="233"/>
      <c r="AY204" s="233"/>
      <c r="AZ204" s="233"/>
      <c r="BA204" s="233"/>
    </row>
    <row r="205" spans="1:53" ht="19.5" customHeight="1">
      <c r="A205" s="233"/>
      <c r="B205" s="233"/>
      <c r="H205" s="233"/>
      <c r="I205" s="233"/>
      <c r="J205" s="233"/>
      <c r="K205" s="233"/>
      <c r="L205" s="233"/>
      <c r="M205" s="233"/>
      <c r="N205" s="233"/>
      <c r="O205" s="233"/>
      <c r="P205" s="233"/>
      <c r="Q205" s="233"/>
      <c r="R205" s="233"/>
      <c r="S205" s="233"/>
      <c r="T205" s="233"/>
      <c r="U205" s="233"/>
      <c r="V205" s="233"/>
      <c r="W205" s="233"/>
      <c r="X205" s="233"/>
      <c r="Y205" s="233"/>
      <c r="Z205" s="233"/>
      <c r="AA205" s="233"/>
      <c r="AB205" s="233"/>
      <c r="AC205" s="233"/>
      <c r="AD205" s="233"/>
      <c r="AE205" s="233"/>
      <c r="AF205" s="233"/>
      <c r="AG205" s="233"/>
      <c r="AH205" s="233"/>
      <c r="AI205" s="233"/>
      <c r="AJ205" s="233"/>
      <c r="AK205" s="233"/>
      <c r="AL205" s="233"/>
      <c r="AM205" s="233"/>
      <c r="AN205" s="233"/>
      <c r="AO205" s="233"/>
      <c r="AP205" s="233"/>
      <c r="AQ205" s="233"/>
      <c r="AR205" s="233"/>
      <c r="AS205" s="233"/>
      <c r="AT205" s="233"/>
      <c r="AU205" s="233"/>
      <c r="AV205" s="233"/>
      <c r="AW205" s="233"/>
      <c r="AX205" s="233"/>
      <c r="AY205" s="233"/>
      <c r="AZ205" s="233"/>
      <c r="BA205" s="233"/>
    </row>
    <row r="206" spans="1:53" ht="19.5" customHeight="1">
      <c r="A206" s="233"/>
      <c r="B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233"/>
      <c r="V206" s="233"/>
      <c r="W206" s="233"/>
      <c r="X206" s="233"/>
      <c r="Y206" s="233"/>
      <c r="Z206" s="233"/>
      <c r="AA206" s="233"/>
      <c r="AB206" s="233"/>
      <c r="AC206" s="233"/>
      <c r="AD206" s="233"/>
      <c r="AE206" s="233"/>
      <c r="AF206" s="233"/>
      <c r="AG206" s="233"/>
      <c r="AH206" s="233"/>
      <c r="AI206" s="233"/>
      <c r="AJ206" s="233"/>
      <c r="AK206" s="233"/>
      <c r="AL206" s="233"/>
      <c r="AM206" s="233"/>
      <c r="AN206" s="233"/>
      <c r="AO206" s="233"/>
      <c r="AP206" s="233"/>
      <c r="AQ206" s="233"/>
      <c r="AR206" s="233"/>
      <c r="AS206" s="233"/>
      <c r="AT206" s="233"/>
      <c r="AU206" s="233"/>
      <c r="AV206" s="233"/>
      <c r="AW206" s="233"/>
      <c r="AX206" s="233"/>
      <c r="AY206" s="233"/>
      <c r="AZ206" s="233"/>
      <c r="BA206" s="233"/>
    </row>
    <row r="207" spans="1:53" ht="19.5" customHeight="1">
      <c r="A207" s="233"/>
      <c r="B207" s="233"/>
      <c r="H207" s="233"/>
      <c r="I207" s="233"/>
      <c r="J207" s="233"/>
      <c r="K207" s="233"/>
      <c r="L207" s="233"/>
      <c r="M207" s="233"/>
      <c r="N207" s="233"/>
      <c r="O207" s="233"/>
      <c r="P207" s="233"/>
      <c r="Q207" s="233"/>
      <c r="R207" s="233"/>
      <c r="S207" s="233"/>
      <c r="T207" s="233"/>
      <c r="U207" s="233"/>
      <c r="V207" s="233"/>
      <c r="W207" s="233"/>
      <c r="X207" s="233"/>
      <c r="Y207" s="233"/>
      <c r="Z207" s="233"/>
      <c r="AA207" s="233"/>
      <c r="AB207" s="233"/>
      <c r="AC207" s="233"/>
      <c r="AD207" s="233"/>
      <c r="AE207" s="233"/>
      <c r="AF207" s="233"/>
      <c r="AG207" s="233"/>
      <c r="AH207" s="233"/>
      <c r="AI207" s="233"/>
      <c r="AJ207" s="233"/>
      <c r="AK207" s="233"/>
      <c r="AL207" s="233"/>
      <c r="AM207" s="233"/>
      <c r="AN207" s="233"/>
      <c r="AO207" s="233"/>
      <c r="AP207" s="233"/>
      <c r="AQ207" s="233"/>
      <c r="AR207" s="233"/>
      <c r="AS207" s="233"/>
      <c r="AT207" s="233"/>
      <c r="AU207" s="233"/>
      <c r="AV207" s="233"/>
      <c r="AW207" s="233"/>
      <c r="AX207" s="233"/>
      <c r="AY207" s="233"/>
      <c r="AZ207" s="233"/>
      <c r="BA207" s="233"/>
    </row>
    <row r="208" spans="1:53" ht="19.5" customHeight="1">
      <c r="A208" s="233"/>
      <c r="B208" s="233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233"/>
      <c r="U208" s="233"/>
      <c r="V208" s="233"/>
      <c r="W208" s="233"/>
      <c r="X208" s="233"/>
      <c r="Y208" s="233"/>
      <c r="Z208" s="233"/>
      <c r="AA208" s="233"/>
      <c r="AB208" s="233"/>
      <c r="AC208" s="233"/>
      <c r="AD208" s="233"/>
      <c r="AE208" s="233"/>
      <c r="AF208" s="233"/>
      <c r="AG208" s="233"/>
      <c r="AH208" s="233"/>
      <c r="AI208" s="233"/>
      <c r="AJ208" s="233"/>
      <c r="AK208" s="233"/>
      <c r="AL208" s="233"/>
      <c r="AM208" s="233"/>
      <c r="AN208" s="233"/>
      <c r="AO208" s="233"/>
      <c r="AP208" s="233"/>
      <c r="AQ208" s="233"/>
      <c r="AR208" s="233"/>
      <c r="AS208" s="233"/>
      <c r="AT208" s="233"/>
      <c r="AU208" s="233"/>
      <c r="AV208" s="233"/>
      <c r="AW208" s="233"/>
      <c r="AX208" s="233"/>
      <c r="AY208" s="233"/>
      <c r="AZ208" s="233"/>
      <c r="BA208" s="233"/>
    </row>
    <row r="209" spans="1:53" ht="19.5" customHeight="1">
      <c r="A209" s="233"/>
      <c r="B209" s="233"/>
      <c r="H209" s="233"/>
      <c r="I209" s="233"/>
      <c r="J209" s="233"/>
      <c r="K209" s="233"/>
      <c r="L209" s="233"/>
      <c r="M209" s="233"/>
      <c r="N209" s="233"/>
      <c r="O209" s="233"/>
      <c r="P209" s="233"/>
      <c r="Q209" s="233"/>
      <c r="R209" s="233"/>
      <c r="S209" s="233"/>
      <c r="T209" s="233"/>
      <c r="U209" s="233"/>
      <c r="V209" s="233"/>
      <c r="W209" s="233"/>
      <c r="X209" s="233"/>
      <c r="Y209" s="233"/>
      <c r="Z209" s="233"/>
      <c r="AA209" s="233"/>
      <c r="AB209" s="233"/>
      <c r="AC209" s="233"/>
      <c r="AD209" s="233"/>
      <c r="AE209" s="233"/>
      <c r="AF209" s="233"/>
      <c r="AG209" s="233"/>
      <c r="AH209" s="233"/>
      <c r="AI209" s="233"/>
      <c r="AJ209" s="233"/>
      <c r="AK209" s="233"/>
      <c r="AL209" s="233"/>
      <c r="AM209" s="233"/>
      <c r="AN209" s="233"/>
      <c r="AO209" s="233"/>
      <c r="AP209" s="233"/>
      <c r="AQ209" s="233"/>
      <c r="AR209" s="233"/>
      <c r="AS209" s="233"/>
      <c r="AT209" s="233"/>
      <c r="AU209" s="233"/>
      <c r="AV209" s="233"/>
      <c r="AW209" s="233"/>
      <c r="AX209" s="233"/>
      <c r="AY209" s="233"/>
      <c r="AZ209" s="233"/>
      <c r="BA209" s="233"/>
    </row>
    <row r="210" spans="1:53" ht="19.5" customHeight="1">
      <c r="A210" s="233"/>
      <c r="B210" s="233"/>
      <c r="H210" s="233"/>
      <c r="I210" s="233"/>
      <c r="J210" s="233"/>
      <c r="K210" s="233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3"/>
      <c r="AG210" s="233"/>
      <c r="AH210" s="233"/>
      <c r="AI210" s="233"/>
      <c r="AJ210" s="233"/>
      <c r="AK210" s="233"/>
      <c r="AL210" s="233"/>
      <c r="AM210" s="233"/>
      <c r="AN210" s="233"/>
      <c r="AO210" s="233"/>
      <c r="AP210" s="233"/>
      <c r="AQ210" s="233"/>
      <c r="AR210" s="233"/>
      <c r="AS210" s="233"/>
      <c r="AT210" s="233"/>
      <c r="AU210" s="233"/>
      <c r="AV210" s="233"/>
      <c r="AW210" s="233"/>
      <c r="AX210" s="233"/>
      <c r="AY210" s="233"/>
      <c r="AZ210" s="233"/>
      <c r="BA210" s="233"/>
    </row>
    <row r="211" spans="1:53" ht="19.5" customHeight="1">
      <c r="A211" s="233"/>
      <c r="B211" s="233"/>
      <c r="H211" s="233"/>
      <c r="I211" s="233"/>
      <c r="J211" s="233"/>
      <c r="K211" s="233"/>
      <c r="L211" s="233"/>
      <c r="M211" s="233"/>
      <c r="N211" s="233"/>
      <c r="O211" s="233"/>
      <c r="P211" s="233"/>
      <c r="Q211" s="233"/>
      <c r="R211" s="233"/>
      <c r="S211" s="233"/>
      <c r="T211" s="233"/>
      <c r="U211" s="233"/>
      <c r="V211" s="233"/>
      <c r="W211" s="233"/>
      <c r="X211" s="233"/>
      <c r="Y211" s="233"/>
      <c r="Z211" s="233"/>
      <c r="AA211" s="233"/>
      <c r="AB211" s="233"/>
      <c r="AC211" s="233"/>
      <c r="AD211" s="233"/>
      <c r="AE211" s="233"/>
      <c r="AF211" s="233"/>
      <c r="AG211" s="233"/>
      <c r="AH211" s="233"/>
      <c r="AI211" s="233"/>
      <c r="AJ211" s="233"/>
      <c r="AK211" s="233"/>
      <c r="AL211" s="233"/>
      <c r="AM211" s="233"/>
      <c r="AN211" s="233"/>
      <c r="AO211" s="233"/>
      <c r="AP211" s="233"/>
      <c r="AQ211" s="233"/>
      <c r="AR211" s="233"/>
      <c r="AS211" s="233"/>
      <c r="AT211" s="233"/>
      <c r="AU211" s="233"/>
      <c r="AV211" s="233"/>
      <c r="AW211" s="233"/>
      <c r="AX211" s="233"/>
      <c r="AY211" s="233"/>
      <c r="AZ211" s="233"/>
      <c r="BA211" s="233"/>
    </row>
    <row r="212" spans="1:53" ht="19.5" customHeight="1">
      <c r="A212" s="233"/>
      <c r="B212" s="233"/>
      <c r="H212" s="233"/>
      <c r="I212" s="233"/>
      <c r="J212" s="233"/>
      <c r="K212" s="233"/>
      <c r="L212" s="233"/>
      <c r="M212" s="233"/>
      <c r="N212" s="233"/>
      <c r="O212" s="233"/>
      <c r="P212" s="233"/>
      <c r="Q212" s="233"/>
      <c r="R212" s="233"/>
      <c r="S212" s="233"/>
      <c r="T212" s="233"/>
      <c r="U212" s="233"/>
      <c r="V212" s="233"/>
      <c r="W212" s="233"/>
      <c r="X212" s="233"/>
      <c r="Y212" s="233"/>
      <c r="Z212" s="233"/>
      <c r="AA212" s="233"/>
      <c r="AB212" s="233"/>
      <c r="AC212" s="233"/>
      <c r="AD212" s="233"/>
      <c r="AE212" s="233"/>
      <c r="AF212" s="233"/>
      <c r="AG212" s="233"/>
      <c r="AH212" s="233"/>
      <c r="AI212" s="233"/>
      <c r="AJ212" s="233"/>
      <c r="AK212" s="233"/>
      <c r="AL212" s="233"/>
      <c r="AM212" s="233"/>
      <c r="AN212" s="233"/>
      <c r="AO212" s="233"/>
      <c r="AP212" s="233"/>
      <c r="AQ212" s="233"/>
      <c r="AR212" s="233"/>
      <c r="AS212" s="233"/>
      <c r="AT212" s="233"/>
      <c r="AU212" s="233"/>
      <c r="AV212" s="233"/>
      <c r="AW212" s="233"/>
      <c r="AX212" s="233"/>
      <c r="AY212" s="233"/>
      <c r="AZ212" s="233"/>
      <c r="BA212" s="233"/>
    </row>
    <row r="213" spans="1:53" ht="19.5" customHeight="1">
      <c r="A213" s="233"/>
      <c r="B213" s="233"/>
      <c r="H213" s="233"/>
      <c r="I213" s="233"/>
      <c r="J213" s="233"/>
      <c r="K213" s="233"/>
      <c r="L213" s="233"/>
      <c r="M213" s="233"/>
      <c r="N213" s="233"/>
      <c r="O213" s="233"/>
      <c r="P213" s="233"/>
      <c r="Q213" s="233"/>
      <c r="R213" s="233"/>
      <c r="S213" s="233"/>
      <c r="T213" s="233"/>
      <c r="U213" s="233"/>
      <c r="V213" s="233"/>
      <c r="W213" s="233"/>
      <c r="X213" s="233"/>
      <c r="Y213" s="233"/>
      <c r="Z213" s="233"/>
      <c r="AA213" s="233"/>
      <c r="AB213" s="233"/>
      <c r="AC213" s="233"/>
      <c r="AD213" s="233"/>
      <c r="AE213" s="233"/>
      <c r="AF213" s="233"/>
      <c r="AG213" s="233"/>
      <c r="AH213" s="233"/>
      <c r="AI213" s="233"/>
      <c r="AJ213" s="233"/>
      <c r="AK213" s="233"/>
      <c r="AL213" s="233"/>
      <c r="AM213" s="233"/>
      <c r="AN213" s="233"/>
      <c r="AO213" s="233"/>
      <c r="AP213" s="233"/>
      <c r="AQ213" s="233"/>
      <c r="AR213" s="233"/>
      <c r="AS213" s="233"/>
      <c r="AT213" s="233"/>
      <c r="AU213" s="233"/>
      <c r="AV213" s="233"/>
      <c r="AW213" s="233"/>
      <c r="AX213" s="233"/>
      <c r="AY213" s="233"/>
      <c r="AZ213" s="233"/>
      <c r="BA213" s="233"/>
    </row>
    <row r="214" spans="1:53" ht="19.5" customHeight="1">
      <c r="A214" s="233"/>
      <c r="B214" s="233"/>
      <c r="H214" s="233"/>
      <c r="I214" s="233"/>
      <c r="J214" s="233"/>
      <c r="K214" s="233"/>
      <c r="L214" s="233"/>
      <c r="M214" s="233"/>
      <c r="N214" s="233"/>
      <c r="O214" s="233"/>
      <c r="P214" s="233"/>
      <c r="Q214" s="233"/>
      <c r="R214" s="233"/>
      <c r="S214" s="233"/>
      <c r="T214" s="233"/>
      <c r="U214" s="233"/>
      <c r="V214" s="233"/>
      <c r="W214" s="233"/>
      <c r="X214" s="233"/>
      <c r="Y214" s="233"/>
      <c r="Z214" s="233"/>
      <c r="AA214" s="233"/>
      <c r="AB214" s="233"/>
      <c r="AC214" s="233"/>
      <c r="AD214" s="233"/>
      <c r="AE214" s="233"/>
      <c r="AF214" s="233"/>
      <c r="AG214" s="233"/>
      <c r="AH214" s="233"/>
      <c r="AI214" s="233"/>
      <c r="AJ214" s="233"/>
      <c r="AK214" s="233"/>
      <c r="AL214" s="233"/>
      <c r="AM214" s="233"/>
      <c r="AN214" s="233"/>
      <c r="AO214" s="233"/>
      <c r="AP214" s="233"/>
      <c r="AQ214" s="233"/>
      <c r="AR214" s="233"/>
      <c r="AS214" s="233"/>
      <c r="AT214" s="233"/>
      <c r="AU214" s="233"/>
      <c r="AV214" s="233"/>
      <c r="AW214" s="233"/>
      <c r="AX214" s="233"/>
      <c r="AY214" s="233"/>
      <c r="AZ214" s="233"/>
      <c r="BA214" s="233"/>
    </row>
    <row r="215" spans="1:53" ht="19.5" customHeight="1">
      <c r="A215" s="233"/>
      <c r="B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233"/>
      <c r="V215" s="233"/>
      <c r="W215" s="233"/>
      <c r="X215" s="233"/>
      <c r="Y215" s="233"/>
      <c r="Z215" s="233"/>
      <c r="AA215" s="233"/>
      <c r="AB215" s="233"/>
      <c r="AC215" s="233"/>
      <c r="AD215" s="233"/>
      <c r="AE215" s="233"/>
      <c r="AF215" s="233"/>
      <c r="AG215" s="233"/>
      <c r="AH215" s="233"/>
      <c r="AI215" s="233"/>
      <c r="AJ215" s="233"/>
      <c r="AK215" s="233"/>
      <c r="AL215" s="233"/>
      <c r="AM215" s="233"/>
      <c r="AN215" s="233"/>
      <c r="AO215" s="233"/>
      <c r="AP215" s="233"/>
      <c r="AQ215" s="233"/>
      <c r="AR215" s="233"/>
      <c r="AS215" s="233"/>
      <c r="AT215" s="233"/>
      <c r="AU215" s="233"/>
      <c r="AV215" s="233"/>
      <c r="AW215" s="233"/>
      <c r="AX215" s="233"/>
      <c r="AY215" s="233"/>
      <c r="AZ215" s="233"/>
      <c r="BA215" s="233"/>
    </row>
    <row r="216" spans="1:53" ht="19.5" customHeight="1">
      <c r="A216" s="233"/>
      <c r="B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3"/>
      <c r="Z216" s="233"/>
      <c r="AA216" s="233"/>
      <c r="AB216" s="233"/>
      <c r="AC216" s="233"/>
      <c r="AD216" s="233"/>
      <c r="AE216" s="233"/>
      <c r="AF216" s="233"/>
      <c r="AG216" s="233"/>
      <c r="AH216" s="233"/>
      <c r="AI216" s="233"/>
      <c r="AJ216" s="233"/>
      <c r="AK216" s="233"/>
      <c r="AL216" s="233"/>
      <c r="AM216" s="233"/>
      <c r="AN216" s="233"/>
      <c r="AO216" s="233"/>
      <c r="AP216" s="233"/>
      <c r="AQ216" s="233"/>
      <c r="AR216" s="233"/>
      <c r="AS216" s="233"/>
      <c r="AT216" s="233"/>
      <c r="AU216" s="233"/>
      <c r="AV216" s="233"/>
      <c r="AW216" s="233"/>
      <c r="AX216" s="233"/>
      <c r="AY216" s="233"/>
      <c r="AZ216" s="233"/>
      <c r="BA216" s="233"/>
    </row>
    <row r="217" spans="1:53" ht="19.5" customHeight="1">
      <c r="A217" s="233"/>
      <c r="B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3"/>
      <c r="Z217" s="233"/>
      <c r="AA217" s="233"/>
      <c r="AB217" s="233"/>
      <c r="AC217" s="233"/>
      <c r="AD217" s="233"/>
      <c r="AE217" s="233"/>
      <c r="AF217" s="233"/>
      <c r="AG217" s="233"/>
      <c r="AH217" s="233"/>
      <c r="AI217" s="233"/>
      <c r="AJ217" s="233"/>
      <c r="AK217" s="233"/>
      <c r="AL217" s="233"/>
      <c r="AM217" s="233"/>
      <c r="AN217" s="233"/>
      <c r="AO217" s="233"/>
      <c r="AP217" s="233"/>
      <c r="AQ217" s="233"/>
      <c r="AR217" s="233"/>
      <c r="AS217" s="233"/>
      <c r="AT217" s="233"/>
      <c r="AU217" s="233"/>
      <c r="AV217" s="233"/>
      <c r="AW217" s="233"/>
      <c r="AX217" s="233"/>
      <c r="AY217" s="233"/>
      <c r="AZ217" s="233"/>
      <c r="BA217" s="233"/>
    </row>
    <row r="218" spans="1:53" ht="19.5" customHeight="1">
      <c r="A218" s="233"/>
      <c r="B218" s="233"/>
      <c r="H218" s="233"/>
      <c r="I218" s="233"/>
      <c r="J218" s="233"/>
      <c r="K218" s="233"/>
      <c r="L218" s="233"/>
      <c r="M218" s="233"/>
      <c r="N218" s="233"/>
      <c r="O218" s="233"/>
      <c r="P218" s="233"/>
      <c r="Q218" s="233"/>
      <c r="R218" s="233"/>
      <c r="S218" s="233"/>
      <c r="T218" s="233"/>
      <c r="U218" s="233"/>
      <c r="V218" s="233"/>
      <c r="W218" s="233"/>
      <c r="X218" s="233"/>
      <c r="Y218" s="233"/>
      <c r="Z218" s="233"/>
      <c r="AA218" s="233"/>
      <c r="AB218" s="233"/>
      <c r="AC218" s="233"/>
      <c r="AD218" s="233"/>
      <c r="AE218" s="233"/>
      <c r="AF218" s="233"/>
      <c r="AG218" s="233"/>
      <c r="AH218" s="233"/>
      <c r="AI218" s="233"/>
      <c r="AJ218" s="233"/>
      <c r="AK218" s="233"/>
      <c r="AL218" s="233"/>
      <c r="AM218" s="233"/>
      <c r="AN218" s="233"/>
      <c r="AO218" s="233"/>
      <c r="AP218" s="233"/>
      <c r="AQ218" s="233"/>
      <c r="AR218" s="233"/>
      <c r="AS218" s="233"/>
      <c r="AT218" s="233"/>
      <c r="AU218" s="233"/>
      <c r="AV218" s="233"/>
      <c r="AW218" s="233"/>
      <c r="AX218" s="233"/>
      <c r="AY218" s="233"/>
      <c r="AZ218" s="233"/>
      <c r="BA218" s="233"/>
    </row>
    <row r="219" spans="1:53" ht="19.5" customHeight="1">
      <c r="A219" s="233"/>
      <c r="B219" s="233"/>
      <c r="H219" s="233"/>
      <c r="I219" s="233"/>
      <c r="J219" s="233"/>
      <c r="K219" s="233"/>
      <c r="L219" s="233"/>
      <c r="M219" s="233"/>
      <c r="N219" s="233"/>
      <c r="O219" s="233"/>
      <c r="P219" s="233"/>
      <c r="Q219" s="233"/>
      <c r="R219" s="233"/>
      <c r="S219" s="233"/>
      <c r="T219" s="233"/>
      <c r="U219" s="233"/>
      <c r="V219" s="233"/>
      <c r="W219" s="233"/>
      <c r="X219" s="233"/>
      <c r="Y219" s="233"/>
      <c r="Z219" s="233"/>
      <c r="AA219" s="233"/>
      <c r="AB219" s="233"/>
      <c r="AC219" s="233"/>
      <c r="AD219" s="233"/>
      <c r="AE219" s="233"/>
      <c r="AF219" s="233"/>
      <c r="AG219" s="233"/>
      <c r="AH219" s="233"/>
      <c r="AI219" s="233"/>
      <c r="AJ219" s="233"/>
      <c r="AK219" s="233"/>
      <c r="AL219" s="233"/>
      <c r="AM219" s="233"/>
      <c r="AN219" s="233"/>
      <c r="AO219" s="233"/>
      <c r="AP219" s="233"/>
      <c r="AQ219" s="233"/>
      <c r="AR219" s="233"/>
      <c r="AS219" s="233"/>
      <c r="AT219" s="233"/>
      <c r="AU219" s="233"/>
      <c r="AV219" s="233"/>
      <c r="AW219" s="233"/>
      <c r="AX219" s="233"/>
      <c r="AY219" s="233"/>
      <c r="AZ219" s="233"/>
      <c r="BA219" s="233"/>
    </row>
    <row r="220" spans="1:53" ht="19.5" customHeight="1">
      <c r="A220" s="233"/>
      <c r="B220" s="233"/>
      <c r="H220" s="233"/>
      <c r="I220" s="233"/>
      <c r="J220" s="233"/>
      <c r="K220" s="233"/>
      <c r="L220" s="233"/>
      <c r="M220" s="233"/>
      <c r="N220" s="233"/>
      <c r="O220" s="233"/>
      <c r="P220" s="233"/>
      <c r="Q220" s="233"/>
      <c r="R220" s="233"/>
      <c r="S220" s="233"/>
      <c r="T220" s="233"/>
      <c r="U220" s="233"/>
      <c r="V220" s="233"/>
      <c r="W220" s="233"/>
      <c r="X220" s="233"/>
      <c r="Y220" s="233"/>
      <c r="Z220" s="233"/>
      <c r="AA220" s="233"/>
      <c r="AB220" s="233"/>
      <c r="AC220" s="233"/>
      <c r="AD220" s="233"/>
      <c r="AE220" s="233"/>
      <c r="AF220" s="233"/>
      <c r="AG220" s="233"/>
      <c r="AH220" s="233"/>
      <c r="AI220" s="233"/>
      <c r="AJ220" s="233"/>
      <c r="AK220" s="233"/>
      <c r="AL220" s="233"/>
      <c r="AM220" s="233"/>
      <c r="AN220" s="233"/>
      <c r="AO220" s="233"/>
      <c r="AP220" s="233"/>
      <c r="AQ220" s="233"/>
      <c r="AR220" s="233"/>
      <c r="AS220" s="233"/>
      <c r="AT220" s="233"/>
      <c r="AU220" s="233"/>
      <c r="AV220" s="233"/>
      <c r="AW220" s="233"/>
      <c r="AX220" s="233"/>
      <c r="AY220" s="233"/>
      <c r="AZ220" s="233"/>
      <c r="BA220" s="233"/>
    </row>
    <row r="221" spans="1:53" ht="19.5" customHeight="1">
      <c r="A221" s="233"/>
      <c r="B221" s="233"/>
      <c r="H221" s="233"/>
      <c r="I221" s="233"/>
      <c r="J221" s="233"/>
      <c r="K221" s="233"/>
      <c r="L221" s="233"/>
      <c r="M221" s="233"/>
      <c r="N221" s="233"/>
      <c r="O221" s="233"/>
      <c r="P221" s="233"/>
      <c r="Q221" s="233"/>
      <c r="R221" s="233"/>
      <c r="S221" s="233"/>
      <c r="T221" s="233"/>
      <c r="U221" s="233"/>
      <c r="V221" s="233"/>
      <c r="W221" s="233"/>
      <c r="X221" s="233"/>
      <c r="Y221" s="233"/>
      <c r="Z221" s="233"/>
      <c r="AA221" s="233"/>
      <c r="AB221" s="233"/>
      <c r="AC221" s="233"/>
      <c r="AD221" s="233"/>
      <c r="AE221" s="233"/>
      <c r="AF221" s="233"/>
      <c r="AG221" s="233"/>
      <c r="AH221" s="233"/>
      <c r="AI221" s="233"/>
      <c r="AJ221" s="233"/>
      <c r="AK221" s="233"/>
      <c r="AL221" s="233"/>
      <c r="AM221" s="233"/>
      <c r="AN221" s="233"/>
      <c r="AO221" s="233"/>
      <c r="AP221" s="233"/>
      <c r="AQ221" s="233"/>
      <c r="AR221" s="233"/>
      <c r="AS221" s="233"/>
      <c r="AT221" s="233"/>
      <c r="AU221" s="233"/>
      <c r="AV221" s="233"/>
      <c r="AW221" s="233"/>
      <c r="AX221" s="233"/>
      <c r="AY221" s="233"/>
      <c r="AZ221" s="233"/>
      <c r="BA221" s="233"/>
    </row>
    <row r="222" spans="1:53" ht="19.5" customHeight="1">
      <c r="A222" s="233"/>
      <c r="B222" s="233"/>
      <c r="H222" s="233"/>
      <c r="I222" s="233"/>
      <c r="J222" s="233"/>
      <c r="K222" s="233"/>
      <c r="L222" s="233"/>
      <c r="M222" s="233"/>
      <c r="N222" s="233"/>
      <c r="O222" s="233"/>
      <c r="P222" s="233"/>
      <c r="Q222" s="233"/>
      <c r="R222" s="233"/>
      <c r="S222" s="233"/>
      <c r="T222" s="233"/>
      <c r="U222" s="233"/>
      <c r="V222" s="233"/>
      <c r="W222" s="233"/>
      <c r="X222" s="233"/>
      <c r="Y222" s="233"/>
      <c r="Z222" s="233"/>
      <c r="AA222" s="233"/>
      <c r="AB222" s="233"/>
      <c r="AC222" s="233"/>
      <c r="AD222" s="233"/>
      <c r="AE222" s="233"/>
      <c r="AF222" s="233"/>
      <c r="AG222" s="233"/>
      <c r="AH222" s="233"/>
      <c r="AI222" s="233"/>
      <c r="AJ222" s="233"/>
      <c r="AK222" s="233"/>
      <c r="AL222" s="233"/>
      <c r="AM222" s="233"/>
      <c r="AN222" s="233"/>
      <c r="AO222" s="233"/>
      <c r="AP222" s="233"/>
      <c r="AQ222" s="233"/>
      <c r="AR222" s="233"/>
      <c r="AS222" s="233"/>
      <c r="AT222" s="233"/>
      <c r="AU222" s="233"/>
      <c r="AV222" s="233"/>
      <c r="AW222" s="233"/>
      <c r="AX222" s="233"/>
      <c r="AY222" s="233"/>
      <c r="AZ222" s="233"/>
      <c r="BA222" s="233"/>
    </row>
    <row r="223" spans="1:53" ht="19.5" customHeight="1">
      <c r="A223" s="233"/>
      <c r="B223" s="233"/>
      <c r="H223" s="233"/>
      <c r="I223" s="233"/>
      <c r="J223" s="233"/>
      <c r="K223" s="233"/>
      <c r="L223" s="233"/>
      <c r="M223" s="233"/>
      <c r="N223" s="233"/>
      <c r="O223" s="233"/>
      <c r="P223" s="233"/>
      <c r="Q223" s="233"/>
      <c r="R223" s="233"/>
      <c r="S223" s="233"/>
      <c r="T223" s="233"/>
      <c r="U223" s="233"/>
      <c r="V223" s="233"/>
      <c r="W223" s="233"/>
      <c r="X223" s="233"/>
      <c r="Y223" s="233"/>
      <c r="Z223" s="233"/>
      <c r="AA223" s="233"/>
      <c r="AB223" s="233"/>
      <c r="AC223" s="233"/>
      <c r="AD223" s="233"/>
      <c r="AE223" s="233"/>
      <c r="AF223" s="233"/>
      <c r="AG223" s="233"/>
      <c r="AH223" s="233"/>
      <c r="AI223" s="233"/>
      <c r="AJ223" s="233"/>
      <c r="AK223" s="233"/>
      <c r="AL223" s="233"/>
      <c r="AM223" s="233"/>
      <c r="AN223" s="233"/>
      <c r="AO223" s="233"/>
      <c r="AP223" s="233"/>
      <c r="AQ223" s="233"/>
      <c r="AR223" s="233"/>
      <c r="AS223" s="233"/>
      <c r="AT223" s="233"/>
      <c r="AU223" s="233"/>
      <c r="AV223" s="233"/>
      <c r="AW223" s="233"/>
      <c r="AX223" s="233"/>
      <c r="AY223" s="233"/>
      <c r="AZ223" s="233"/>
      <c r="BA223" s="233"/>
    </row>
    <row r="224" spans="1:53" ht="19.5" customHeight="1">
      <c r="A224" s="233"/>
      <c r="B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233"/>
      <c r="V224" s="233"/>
      <c r="W224" s="233"/>
      <c r="X224" s="233"/>
      <c r="Y224" s="233"/>
      <c r="Z224" s="233"/>
      <c r="AA224" s="233"/>
      <c r="AB224" s="233"/>
      <c r="AC224" s="233"/>
      <c r="AD224" s="233"/>
      <c r="AE224" s="233"/>
      <c r="AF224" s="233"/>
      <c r="AG224" s="233"/>
      <c r="AH224" s="233"/>
      <c r="AI224" s="233"/>
      <c r="AJ224" s="233"/>
      <c r="AK224" s="233"/>
      <c r="AL224" s="233"/>
      <c r="AM224" s="233"/>
      <c r="AN224" s="233"/>
      <c r="AO224" s="233"/>
      <c r="AP224" s="233"/>
      <c r="AQ224" s="233"/>
      <c r="AR224" s="233"/>
      <c r="AS224" s="233"/>
      <c r="AT224" s="233"/>
      <c r="AU224" s="233"/>
      <c r="AV224" s="233"/>
      <c r="AW224" s="233"/>
      <c r="AX224" s="233"/>
      <c r="AY224" s="233"/>
      <c r="AZ224" s="233"/>
      <c r="BA224" s="233"/>
    </row>
    <row r="225" spans="1:53" ht="19.5" customHeight="1">
      <c r="A225" s="233"/>
      <c r="B225" s="233"/>
      <c r="H225" s="233"/>
      <c r="I225" s="233"/>
      <c r="J225" s="233"/>
      <c r="K225" s="233"/>
      <c r="L225" s="233"/>
      <c r="M225" s="233"/>
      <c r="N225" s="233"/>
      <c r="O225" s="233"/>
      <c r="P225" s="233"/>
      <c r="Q225" s="233"/>
      <c r="R225" s="233"/>
      <c r="S225" s="233"/>
      <c r="T225" s="233"/>
      <c r="U225" s="233"/>
      <c r="V225" s="233"/>
      <c r="W225" s="233"/>
      <c r="X225" s="233"/>
      <c r="Y225" s="233"/>
      <c r="Z225" s="233"/>
      <c r="AA225" s="233"/>
      <c r="AB225" s="233"/>
      <c r="AC225" s="233"/>
      <c r="AD225" s="233"/>
      <c r="AE225" s="233"/>
      <c r="AF225" s="233"/>
      <c r="AG225" s="233"/>
      <c r="AH225" s="233"/>
      <c r="AI225" s="233"/>
      <c r="AJ225" s="233"/>
      <c r="AK225" s="233"/>
      <c r="AL225" s="233"/>
      <c r="AM225" s="233"/>
      <c r="AN225" s="233"/>
      <c r="AO225" s="233"/>
      <c r="AP225" s="233"/>
      <c r="AQ225" s="233"/>
      <c r="AR225" s="233"/>
      <c r="AS225" s="233"/>
      <c r="AT225" s="233"/>
      <c r="AU225" s="233"/>
      <c r="AV225" s="233"/>
      <c r="AW225" s="233"/>
      <c r="AX225" s="233"/>
      <c r="AY225" s="233"/>
      <c r="AZ225" s="233"/>
      <c r="BA225" s="233"/>
    </row>
    <row r="226" spans="1:53" ht="19.5" customHeight="1">
      <c r="A226" s="233"/>
      <c r="B226" s="233"/>
      <c r="H226" s="233"/>
      <c r="I226" s="233"/>
      <c r="J226" s="233"/>
      <c r="K226" s="233"/>
      <c r="L226" s="233"/>
      <c r="M226" s="233"/>
      <c r="N226" s="233"/>
      <c r="O226" s="233"/>
      <c r="P226" s="233"/>
      <c r="Q226" s="233"/>
      <c r="R226" s="233"/>
      <c r="S226" s="233"/>
      <c r="T226" s="233"/>
      <c r="U226" s="233"/>
      <c r="V226" s="233"/>
      <c r="W226" s="233"/>
      <c r="X226" s="233"/>
      <c r="Y226" s="233"/>
      <c r="Z226" s="233"/>
      <c r="AA226" s="233"/>
      <c r="AB226" s="233"/>
      <c r="AC226" s="233"/>
      <c r="AD226" s="233"/>
      <c r="AE226" s="233"/>
      <c r="AF226" s="233"/>
      <c r="AG226" s="233"/>
      <c r="AH226" s="233"/>
      <c r="AI226" s="233"/>
      <c r="AJ226" s="233"/>
      <c r="AK226" s="233"/>
      <c r="AL226" s="233"/>
      <c r="AM226" s="233"/>
      <c r="AN226" s="233"/>
      <c r="AO226" s="233"/>
      <c r="AP226" s="233"/>
      <c r="AQ226" s="233"/>
      <c r="AR226" s="233"/>
      <c r="AS226" s="233"/>
      <c r="AT226" s="233"/>
      <c r="AU226" s="233"/>
      <c r="AV226" s="233"/>
      <c r="AW226" s="233"/>
      <c r="AX226" s="233"/>
      <c r="AY226" s="233"/>
      <c r="AZ226" s="233"/>
      <c r="BA226" s="233"/>
    </row>
    <row r="227" spans="1:53" ht="19.5" customHeight="1">
      <c r="A227" s="233"/>
      <c r="B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233"/>
      <c r="T227" s="233"/>
      <c r="U227" s="233"/>
      <c r="V227" s="233"/>
      <c r="W227" s="233"/>
      <c r="X227" s="233"/>
      <c r="Y227" s="233"/>
      <c r="Z227" s="233"/>
      <c r="AA227" s="233"/>
      <c r="AB227" s="233"/>
      <c r="AC227" s="233"/>
      <c r="AD227" s="233"/>
      <c r="AE227" s="233"/>
      <c r="AF227" s="233"/>
      <c r="AG227" s="233"/>
      <c r="AH227" s="233"/>
      <c r="AI227" s="233"/>
      <c r="AJ227" s="233"/>
      <c r="AK227" s="233"/>
      <c r="AL227" s="233"/>
      <c r="AM227" s="233"/>
      <c r="AN227" s="233"/>
      <c r="AO227" s="233"/>
      <c r="AP227" s="233"/>
      <c r="AQ227" s="233"/>
      <c r="AR227" s="233"/>
      <c r="AS227" s="233"/>
      <c r="AT227" s="233"/>
      <c r="AU227" s="233"/>
      <c r="AV227" s="233"/>
      <c r="AW227" s="233"/>
      <c r="AX227" s="233"/>
      <c r="AY227" s="233"/>
      <c r="AZ227" s="233"/>
      <c r="BA227" s="233"/>
    </row>
    <row r="228" spans="1:53" ht="19.5" customHeight="1">
      <c r="A228" s="233"/>
      <c r="B228" s="233"/>
      <c r="H228" s="233"/>
      <c r="I228" s="233"/>
      <c r="J228" s="233"/>
      <c r="K228" s="233"/>
      <c r="L228" s="233"/>
      <c r="M228" s="233"/>
      <c r="N228" s="233"/>
      <c r="O228" s="233"/>
      <c r="P228" s="233"/>
      <c r="Q228" s="233"/>
      <c r="R228" s="233"/>
      <c r="S228" s="233"/>
      <c r="T228" s="233"/>
      <c r="U228" s="233"/>
      <c r="V228" s="233"/>
      <c r="W228" s="233"/>
      <c r="X228" s="233"/>
      <c r="Y228" s="233"/>
      <c r="Z228" s="233"/>
      <c r="AA228" s="233"/>
      <c r="AB228" s="233"/>
      <c r="AC228" s="233"/>
      <c r="AD228" s="233"/>
      <c r="AE228" s="233"/>
      <c r="AF228" s="233"/>
      <c r="AG228" s="233"/>
      <c r="AH228" s="233"/>
      <c r="AI228" s="233"/>
      <c r="AJ228" s="233"/>
      <c r="AK228" s="233"/>
      <c r="AL228" s="233"/>
      <c r="AM228" s="233"/>
      <c r="AN228" s="233"/>
      <c r="AO228" s="233"/>
      <c r="AP228" s="233"/>
      <c r="AQ228" s="233"/>
      <c r="AR228" s="233"/>
      <c r="AS228" s="233"/>
      <c r="AT228" s="233"/>
      <c r="AU228" s="233"/>
      <c r="AV228" s="233"/>
      <c r="AW228" s="233"/>
      <c r="AX228" s="233"/>
      <c r="AY228" s="233"/>
      <c r="AZ228" s="233"/>
      <c r="BA228" s="233"/>
    </row>
    <row r="229" spans="1:53" ht="19.5" customHeight="1">
      <c r="A229" s="233"/>
      <c r="B229" s="233"/>
      <c r="H229" s="233"/>
      <c r="I229" s="233"/>
      <c r="J229" s="233"/>
      <c r="K229" s="233"/>
      <c r="L229" s="233"/>
      <c r="M229" s="233"/>
      <c r="N229" s="233"/>
      <c r="O229" s="233"/>
      <c r="P229" s="233"/>
      <c r="Q229" s="233"/>
      <c r="R229" s="233"/>
      <c r="S229" s="233"/>
      <c r="T229" s="233"/>
      <c r="U229" s="233"/>
      <c r="V229" s="233"/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233"/>
      <c r="AM229" s="233"/>
      <c r="AN229" s="233"/>
      <c r="AO229" s="233"/>
      <c r="AP229" s="233"/>
      <c r="AQ229" s="233"/>
      <c r="AR229" s="233"/>
      <c r="AS229" s="233"/>
      <c r="AT229" s="233"/>
      <c r="AU229" s="233"/>
      <c r="AV229" s="233"/>
      <c r="AW229" s="233"/>
      <c r="AX229" s="233"/>
      <c r="AY229" s="233"/>
      <c r="AZ229" s="233"/>
      <c r="BA229" s="233"/>
    </row>
    <row r="230" spans="1:53" ht="19.5" customHeight="1">
      <c r="A230" s="233"/>
      <c r="B230" s="233"/>
      <c r="H230" s="233"/>
      <c r="I230" s="233"/>
      <c r="J230" s="233"/>
      <c r="K230" s="233"/>
      <c r="L230" s="233"/>
      <c r="M230" s="233"/>
      <c r="N230" s="233"/>
      <c r="O230" s="233"/>
      <c r="P230" s="233"/>
      <c r="Q230" s="233"/>
      <c r="R230" s="233"/>
      <c r="S230" s="233"/>
      <c r="T230" s="233"/>
      <c r="U230" s="233"/>
      <c r="V230" s="233"/>
      <c r="W230" s="233"/>
      <c r="X230" s="233"/>
      <c r="Y230" s="233"/>
      <c r="Z230" s="233"/>
      <c r="AA230" s="233"/>
      <c r="AB230" s="233"/>
      <c r="AC230" s="233"/>
      <c r="AD230" s="233"/>
      <c r="AE230" s="233"/>
      <c r="AF230" s="233"/>
      <c r="AG230" s="233"/>
      <c r="AH230" s="233"/>
      <c r="AI230" s="233"/>
      <c r="AJ230" s="233"/>
      <c r="AK230" s="233"/>
      <c r="AL230" s="233"/>
      <c r="AM230" s="233"/>
      <c r="AN230" s="233"/>
      <c r="AO230" s="233"/>
      <c r="AP230" s="233"/>
      <c r="AQ230" s="233"/>
      <c r="AR230" s="233"/>
      <c r="AS230" s="233"/>
      <c r="AT230" s="233"/>
      <c r="AU230" s="233"/>
      <c r="AV230" s="233"/>
      <c r="AW230" s="233"/>
      <c r="AX230" s="233"/>
      <c r="AY230" s="233"/>
      <c r="AZ230" s="233"/>
      <c r="BA230" s="233"/>
    </row>
    <row r="231" spans="1:53" ht="19.5" customHeight="1">
      <c r="A231" s="233"/>
      <c r="B231" s="233"/>
      <c r="H231" s="233"/>
      <c r="I231" s="233"/>
      <c r="J231" s="233"/>
      <c r="K231" s="233"/>
      <c r="L231" s="233"/>
      <c r="M231" s="233"/>
      <c r="N231" s="233"/>
      <c r="O231" s="233"/>
      <c r="P231" s="233"/>
      <c r="Q231" s="233"/>
      <c r="R231" s="233"/>
      <c r="S231" s="233"/>
      <c r="T231" s="233"/>
      <c r="U231" s="233"/>
      <c r="V231" s="233"/>
      <c r="W231" s="233"/>
      <c r="X231" s="233"/>
      <c r="Y231" s="233"/>
      <c r="Z231" s="233"/>
      <c r="AA231" s="233"/>
      <c r="AB231" s="233"/>
      <c r="AC231" s="233"/>
      <c r="AD231" s="233"/>
      <c r="AE231" s="233"/>
      <c r="AF231" s="233"/>
      <c r="AG231" s="233"/>
      <c r="AH231" s="233"/>
      <c r="AI231" s="233"/>
      <c r="AJ231" s="233"/>
      <c r="AK231" s="233"/>
      <c r="AL231" s="233"/>
      <c r="AM231" s="233"/>
      <c r="AN231" s="233"/>
      <c r="AO231" s="233"/>
      <c r="AP231" s="233"/>
      <c r="AQ231" s="233"/>
      <c r="AR231" s="233"/>
      <c r="AS231" s="233"/>
      <c r="AT231" s="233"/>
      <c r="AU231" s="233"/>
      <c r="AV231" s="233"/>
      <c r="AW231" s="233"/>
      <c r="AX231" s="233"/>
      <c r="AY231" s="233"/>
      <c r="AZ231" s="233"/>
      <c r="BA231" s="233"/>
    </row>
    <row r="232" spans="1:53" ht="19.5" customHeight="1">
      <c r="A232" s="233"/>
      <c r="B232" s="233"/>
      <c r="H232" s="233"/>
      <c r="I232" s="233"/>
      <c r="J232" s="233"/>
      <c r="K232" s="233"/>
      <c r="L232" s="233"/>
      <c r="M232" s="233"/>
      <c r="N232" s="233"/>
      <c r="O232" s="233"/>
      <c r="P232" s="233"/>
      <c r="Q232" s="233"/>
      <c r="R232" s="233"/>
      <c r="S232" s="233"/>
      <c r="T232" s="233"/>
      <c r="U232" s="233"/>
      <c r="V232" s="233"/>
      <c r="W232" s="233"/>
      <c r="X232" s="233"/>
      <c r="Y232" s="233"/>
      <c r="Z232" s="233"/>
      <c r="AA232" s="233"/>
      <c r="AB232" s="233"/>
      <c r="AC232" s="233"/>
      <c r="AD232" s="233"/>
      <c r="AE232" s="233"/>
      <c r="AF232" s="233"/>
      <c r="AG232" s="233"/>
      <c r="AH232" s="233"/>
      <c r="AI232" s="233"/>
      <c r="AJ232" s="233"/>
      <c r="AK232" s="233"/>
      <c r="AL232" s="233"/>
      <c r="AM232" s="233"/>
      <c r="AN232" s="233"/>
      <c r="AO232" s="233"/>
      <c r="AP232" s="233"/>
      <c r="AQ232" s="233"/>
      <c r="AR232" s="233"/>
      <c r="AS232" s="233"/>
      <c r="AT232" s="233"/>
      <c r="AU232" s="233"/>
      <c r="AV232" s="233"/>
      <c r="AW232" s="233"/>
      <c r="AX232" s="233"/>
      <c r="AY232" s="233"/>
      <c r="AZ232" s="233"/>
      <c r="BA232" s="233"/>
    </row>
    <row r="233" spans="1:53" ht="19.5" customHeight="1">
      <c r="A233" s="233"/>
      <c r="B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233"/>
      <c r="V233" s="233"/>
      <c r="W233" s="233"/>
      <c r="X233" s="233"/>
      <c r="Y233" s="233"/>
      <c r="Z233" s="233"/>
      <c r="AA233" s="233"/>
      <c r="AB233" s="233"/>
      <c r="AC233" s="233"/>
      <c r="AD233" s="233"/>
      <c r="AE233" s="233"/>
      <c r="AF233" s="233"/>
      <c r="AG233" s="233"/>
      <c r="AH233" s="233"/>
      <c r="AI233" s="233"/>
      <c r="AJ233" s="233"/>
      <c r="AK233" s="233"/>
      <c r="AL233" s="233"/>
      <c r="AM233" s="233"/>
      <c r="AN233" s="233"/>
      <c r="AO233" s="233"/>
      <c r="AP233" s="233"/>
      <c r="AQ233" s="233"/>
      <c r="AR233" s="233"/>
      <c r="AS233" s="233"/>
      <c r="AT233" s="233"/>
      <c r="AU233" s="233"/>
      <c r="AV233" s="233"/>
      <c r="AW233" s="233"/>
      <c r="AX233" s="233"/>
      <c r="AY233" s="233"/>
      <c r="AZ233" s="233"/>
      <c r="BA233" s="233"/>
    </row>
    <row r="234" spans="1:53" ht="19.5" customHeight="1">
      <c r="A234" s="233"/>
      <c r="B234" s="233"/>
      <c r="H234" s="233"/>
      <c r="I234" s="233"/>
      <c r="J234" s="233"/>
      <c r="K234" s="233"/>
      <c r="L234" s="233"/>
      <c r="M234" s="233"/>
      <c r="N234" s="233"/>
      <c r="O234" s="233"/>
      <c r="P234" s="233"/>
      <c r="Q234" s="233"/>
      <c r="R234" s="233"/>
      <c r="S234" s="233"/>
      <c r="T234" s="233"/>
      <c r="U234" s="233"/>
      <c r="V234" s="233"/>
      <c r="W234" s="233"/>
      <c r="X234" s="233"/>
      <c r="Y234" s="233"/>
      <c r="Z234" s="233"/>
      <c r="AA234" s="233"/>
      <c r="AB234" s="233"/>
      <c r="AC234" s="233"/>
      <c r="AD234" s="233"/>
      <c r="AE234" s="233"/>
      <c r="AF234" s="233"/>
      <c r="AG234" s="233"/>
      <c r="AH234" s="233"/>
      <c r="AI234" s="233"/>
      <c r="AJ234" s="233"/>
      <c r="AK234" s="233"/>
      <c r="AL234" s="233"/>
      <c r="AM234" s="233"/>
      <c r="AN234" s="233"/>
      <c r="AO234" s="233"/>
      <c r="AP234" s="233"/>
      <c r="AQ234" s="233"/>
      <c r="AR234" s="233"/>
      <c r="AS234" s="233"/>
      <c r="AT234" s="233"/>
      <c r="AU234" s="233"/>
      <c r="AV234" s="233"/>
      <c r="AW234" s="233"/>
      <c r="AX234" s="233"/>
      <c r="AY234" s="233"/>
      <c r="AZ234" s="233"/>
      <c r="BA234" s="233"/>
    </row>
    <row r="235" spans="1:53" ht="19.5" customHeight="1">
      <c r="A235" s="233"/>
      <c r="B235" s="233"/>
      <c r="H235" s="233"/>
      <c r="I235" s="233"/>
      <c r="J235" s="233"/>
      <c r="K235" s="233"/>
      <c r="L235" s="233"/>
      <c r="M235" s="233"/>
      <c r="N235" s="233"/>
      <c r="O235" s="233"/>
      <c r="P235" s="233"/>
      <c r="Q235" s="233"/>
      <c r="R235" s="233"/>
      <c r="S235" s="233"/>
      <c r="T235" s="233"/>
      <c r="U235" s="233"/>
      <c r="V235" s="233"/>
      <c r="W235" s="233"/>
      <c r="X235" s="233"/>
      <c r="Y235" s="233"/>
      <c r="Z235" s="233"/>
      <c r="AA235" s="233"/>
      <c r="AB235" s="233"/>
      <c r="AC235" s="233"/>
      <c r="AD235" s="233"/>
      <c r="AE235" s="233"/>
      <c r="AF235" s="233"/>
      <c r="AG235" s="233"/>
      <c r="AH235" s="233"/>
      <c r="AI235" s="233"/>
      <c r="AJ235" s="233"/>
      <c r="AK235" s="233"/>
      <c r="AL235" s="233"/>
      <c r="AM235" s="233"/>
      <c r="AN235" s="233"/>
      <c r="AO235" s="233"/>
      <c r="AP235" s="233"/>
      <c r="AQ235" s="233"/>
      <c r="AR235" s="233"/>
      <c r="AS235" s="233"/>
      <c r="AT235" s="233"/>
      <c r="AU235" s="233"/>
      <c r="AV235" s="233"/>
      <c r="AW235" s="233"/>
      <c r="AX235" s="233"/>
      <c r="AY235" s="233"/>
      <c r="AZ235" s="233"/>
      <c r="BA235" s="233"/>
    </row>
    <row r="236" spans="1:53" ht="19.5" customHeight="1">
      <c r="A236" s="233"/>
      <c r="B236" s="233"/>
      <c r="H236" s="233"/>
      <c r="I236" s="233"/>
      <c r="J236" s="233"/>
      <c r="K236" s="233"/>
      <c r="L236" s="233"/>
      <c r="M236" s="233"/>
      <c r="N236" s="233"/>
      <c r="O236" s="233"/>
      <c r="P236" s="233"/>
      <c r="Q236" s="233"/>
      <c r="R236" s="233"/>
      <c r="S236" s="233"/>
      <c r="T236" s="233"/>
      <c r="U236" s="233"/>
      <c r="V236" s="233"/>
      <c r="W236" s="233"/>
      <c r="X236" s="233"/>
      <c r="Y236" s="233"/>
      <c r="Z236" s="233"/>
      <c r="AA236" s="233"/>
      <c r="AB236" s="233"/>
      <c r="AC236" s="233"/>
      <c r="AD236" s="233"/>
      <c r="AE236" s="233"/>
      <c r="AF236" s="233"/>
      <c r="AG236" s="233"/>
      <c r="AH236" s="233"/>
      <c r="AI236" s="233"/>
      <c r="AJ236" s="233"/>
      <c r="AK236" s="233"/>
      <c r="AL236" s="233"/>
      <c r="AM236" s="233"/>
      <c r="AN236" s="233"/>
      <c r="AO236" s="233"/>
      <c r="AP236" s="233"/>
      <c r="AQ236" s="233"/>
      <c r="AR236" s="233"/>
      <c r="AS236" s="233"/>
      <c r="AT236" s="233"/>
      <c r="AU236" s="233"/>
      <c r="AV236" s="233"/>
      <c r="AW236" s="233"/>
      <c r="AX236" s="233"/>
      <c r="AY236" s="233"/>
      <c r="AZ236" s="233"/>
      <c r="BA236" s="233"/>
    </row>
    <row r="237" spans="1:53" ht="19.5" customHeight="1">
      <c r="A237" s="233"/>
      <c r="B237" s="233"/>
      <c r="H237" s="233"/>
      <c r="I237" s="233"/>
      <c r="J237" s="233"/>
      <c r="K237" s="233"/>
      <c r="L237" s="233"/>
      <c r="M237" s="233"/>
      <c r="N237" s="233"/>
      <c r="O237" s="233"/>
      <c r="P237" s="233"/>
      <c r="Q237" s="233"/>
      <c r="R237" s="233"/>
      <c r="S237" s="233"/>
      <c r="T237" s="233"/>
      <c r="U237" s="233"/>
      <c r="V237" s="233"/>
      <c r="W237" s="233"/>
      <c r="X237" s="233"/>
      <c r="Y237" s="233"/>
      <c r="Z237" s="233"/>
      <c r="AA237" s="233"/>
      <c r="AB237" s="233"/>
      <c r="AC237" s="233"/>
      <c r="AD237" s="233"/>
      <c r="AE237" s="233"/>
      <c r="AF237" s="233"/>
      <c r="AG237" s="233"/>
      <c r="AH237" s="233"/>
      <c r="AI237" s="233"/>
      <c r="AJ237" s="233"/>
      <c r="AK237" s="233"/>
      <c r="AL237" s="233"/>
      <c r="AM237" s="233"/>
      <c r="AN237" s="233"/>
      <c r="AO237" s="233"/>
      <c r="AP237" s="233"/>
      <c r="AQ237" s="233"/>
      <c r="AR237" s="233"/>
      <c r="AS237" s="233"/>
      <c r="AT237" s="233"/>
      <c r="AU237" s="233"/>
      <c r="AV237" s="233"/>
      <c r="AW237" s="233"/>
      <c r="AX237" s="233"/>
      <c r="AY237" s="233"/>
      <c r="AZ237" s="233"/>
      <c r="BA237" s="233"/>
    </row>
    <row r="238" spans="1:53" ht="19.5" customHeight="1">
      <c r="A238" s="233"/>
      <c r="B238" s="233"/>
      <c r="H238" s="233"/>
      <c r="I238" s="233"/>
      <c r="J238" s="233"/>
      <c r="K238" s="233"/>
      <c r="L238" s="233"/>
      <c r="M238" s="233"/>
      <c r="N238" s="233"/>
      <c r="O238" s="233"/>
      <c r="P238" s="233"/>
      <c r="Q238" s="233"/>
      <c r="R238" s="233"/>
      <c r="S238" s="233"/>
      <c r="T238" s="233"/>
      <c r="U238" s="233"/>
      <c r="V238" s="233"/>
      <c r="W238" s="233"/>
      <c r="X238" s="233"/>
      <c r="Y238" s="233"/>
      <c r="Z238" s="233"/>
      <c r="AA238" s="233"/>
      <c r="AB238" s="233"/>
      <c r="AC238" s="233"/>
      <c r="AD238" s="233"/>
      <c r="AE238" s="233"/>
      <c r="AF238" s="233"/>
      <c r="AG238" s="233"/>
      <c r="AH238" s="233"/>
      <c r="AI238" s="233"/>
      <c r="AJ238" s="233"/>
      <c r="AK238" s="233"/>
      <c r="AL238" s="233"/>
      <c r="AM238" s="233"/>
      <c r="AN238" s="233"/>
      <c r="AO238" s="233"/>
      <c r="AP238" s="233"/>
      <c r="AQ238" s="233"/>
      <c r="AR238" s="233"/>
      <c r="AS238" s="233"/>
      <c r="AT238" s="233"/>
      <c r="AU238" s="233"/>
      <c r="AV238" s="233"/>
      <c r="AW238" s="233"/>
      <c r="AX238" s="233"/>
      <c r="AY238" s="233"/>
      <c r="AZ238" s="233"/>
      <c r="BA238" s="233"/>
    </row>
    <row r="239" spans="1:53" ht="19.5" customHeight="1">
      <c r="A239" s="233"/>
      <c r="B239" s="233"/>
      <c r="H239" s="233"/>
      <c r="I239" s="233"/>
      <c r="J239" s="233"/>
      <c r="K239" s="233"/>
      <c r="L239" s="233"/>
      <c r="M239" s="233"/>
      <c r="N239" s="233"/>
      <c r="O239" s="233"/>
      <c r="P239" s="233"/>
      <c r="Q239" s="233"/>
      <c r="R239" s="233"/>
      <c r="S239" s="233"/>
      <c r="T239" s="233"/>
      <c r="U239" s="233"/>
      <c r="V239" s="233"/>
      <c r="W239" s="233"/>
      <c r="X239" s="233"/>
      <c r="Y239" s="233"/>
      <c r="Z239" s="233"/>
      <c r="AA239" s="233"/>
      <c r="AB239" s="233"/>
      <c r="AC239" s="233"/>
      <c r="AD239" s="233"/>
      <c r="AE239" s="233"/>
      <c r="AF239" s="233"/>
      <c r="AG239" s="233"/>
      <c r="AH239" s="233"/>
      <c r="AI239" s="233"/>
      <c r="AJ239" s="233"/>
      <c r="AK239" s="233"/>
      <c r="AL239" s="233"/>
      <c r="AM239" s="233"/>
      <c r="AN239" s="233"/>
      <c r="AO239" s="233"/>
      <c r="AP239" s="233"/>
      <c r="AQ239" s="233"/>
      <c r="AR239" s="233"/>
      <c r="AS239" s="233"/>
      <c r="AT239" s="233"/>
      <c r="AU239" s="233"/>
      <c r="AV239" s="233"/>
      <c r="AW239" s="233"/>
      <c r="AX239" s="233"/>
      <c r="AY239" s="233"/>
      <c r="AZ239" s="233"/>
      <c r="BA239" s="233"/>
    </row>
    <row r="240" spans="1:53" ht="19.5" customHeight="1">
      <c r="A240" s="233"/>
      <c r="B240" s="233"/>
      <c r="H240" s="233"/>
      <c r="I240" s="233"/>
      <c r="J240" s="233"/>
      <c r="K240" s="233"/>
      <c r="L240" s="233"/>
      <c r="M240" s="233"/>
      <c r="N240" s="233"/>
      <c r="O240" s="233"/>
      <c r="P240" s="233"/>
      <c r="Q240" s="233"/>
      <c r="R240" s="233"/>
      <c r="S240" s="233"/>
      <c r="T240" s="233"/>
      <c r="U240" s="233"/>
      <c r="V240" s="233"/>
      <c r="W240" s="233"/>
      <c r="X240" s="233"/>
      <c r="Y240" s="233"/>
      <c r="Z240" s="233"/>
      <c r="AA240" s="233"/>
      <c r="AB240" s="233"/>
      <c r="AC240" s="233"/>
      <c r="AD240" s="233"/>
      <c r="AE240" s="233"/>
      <c r="AF240" s="233"/>
      <c r="AG240" s="233"/>
      <c r="AH240" s="233"/>
      <c r="AI240" s="233"/>
      <c r="AJ240" s="233"/>
      <c r="AK240" s="233"/>
      <c r="AL240" s="233"/>
      <c r="AM240" s="233"/>
      <c r="AN240" s="233"/>
      <c r="AO240" s="233"/>
      <c r="AP240" s="233"/>
      <c r="AQ240" s="233"/>
      <c r="AR240" s="233"/>
      <c r="AS240" s="233"/>
      <c r="AT240" s="233"/>
      <c r="AU240" s="233"/>
      <c r="AV240" s="233"/>
      <c r="AW240" s="233"/>
      <c r="AX240" s="233"/>
      <c r="AY240" s="233"/>
      <c r="AZ240" s="233"/>
      <c r="BA240" s="233"/>
    </row>
    <row r="241" spans="1:53" ht="19.5" customHeight="1">
      <c r="A241" s="233"/>
      <c r="B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33"/>
      <c r="Z241" s="233"/>
      <c r="AA241" s="233"/>
      <c r="AB241" s="233"/>
      <c r="AC241" s="233"/>
      <c r="AD241" s="233"/>
      <c r="AE241" s="233"/>
      <c r="AF241" s="233"/>
      <c r="AG241" s="233"/>
      <c r="AH241" s="233"/>
      <c r="AI241" s="233"/>
      <c r="AJ241" s="233"/>
      <c r="AK241" s="233"/>
      <c r="AL241" s="233"/>
      <c r="AM241" s="233"/>
      <c r="AN241" s="233"/>
      <c r="AO241" s="233"/>
      <c r="AP241" s="233"/>
      <c r="AQ241" s="233"/>
      <c r="AR241" s="233"/>
      <c r="AS241" s="233"/>
      <c r="AT241" s="233"/>
      <c r="AU241" s="233"/>
      <c r="AV241" s="233"/>
      <c r="AW241" s="233"/>
      <c r="AX241" s="233"/>
      <c r="AY241" s="233"/>
      <c r="AZ241" s="233"/>
      <c r="BA241" s="233"/>
    </row>
    <row r="242" spans="1:53" ht="19.5" customHeight="1">
      <c r="A242" s="233"/>
      <c r="B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233"/>
      <c r="V242" s="233"/>
      <c r="W242" s="233"/>
      <c r="X242" s="233"/>
      <c r="Y242" s="233"/>
      <c r="Z242" s="233"/>
      <c r="AA242" s="233"/>
      <c r="AB242" s="233"/>
      <c r="AC242" s="233"/>
      <c r="AD242" s="233"/>
      <c r="AE242" s="233"/>
      <c r="AF242" s="233"/>
      <c r="AG242" s="233"/>
      <c r="AH242" s="233"/>
      <c r="AI242" s="233"/>
      <c r="AJ242" s="233"/>
      <c r="AK242" s="233"/>
      <c r="AL242" s="233"/>
      <c r="AM242" s="233"/>
      <c r="AN242" s="233"/>
      <c r="AO242" s="233"/>
      <c r="AP242" s="233"/>
      <c r="AQ242" s="233"/>
      <c r="AR242" s="233"/>
      <c r="AS242" s="233"/>
      <c r="AT242" s="233"/>
      <c r="AU242" s="233"/>
      <c r="AV242" s="233"/>
      <c r="AW242" s="233"/>
      <c r="AX242" s="233"/>
      <c r="AY242" s="233"/>
      <c r="AZ242" s="233"/>
      <c r="BA242" s="233"/>
    </row>
    <row r="243" spans="1:53" ht="19.5" customHeight="1">
      <c r="A243" s="233"/>
      <c r="B243" s="233"/>
      <c r="H243" s="233"/>
      <c r="I243" s="233"/>
      <c r="J243" s="233"/>
      <c r="K243" s="233"/>
      <c r="L243" s="233"/>
      <c r="M243" s="233"/>
      <c r="N243" s="233"/>
      <c r="O243" s="233"/>
      <c r="P243" s="233"/>
      <c r="Q243" s="233"/>
      <c r="R243" s="233"/>
      <c r="S243" s="233"/>
      <c r="T243" s="233"/>
      <c r="U243" s="233"/>
      <c r="V243" s="233"/>
      <c r="W243" s="233"/>
      <c r="X243" s="233"/>
      <c r="Y243" s="233"/>
      <c r="Z243" s="233"/>
      <c r="AA243" s="233"/>
      <c r="AB243" s="233"/>
      <c r="AC243" s="233"/>
      <c r="AD243" s="233"/>
      <c r="AE243" s="233"/>
      <c r="AF243" s="233"/>
      <c r="AG243" s="233"/>
      <c r="AH243" s="233"/>
      <c r="AI243" s="233"/>
      <c r="AJ243" s="233"/>
      <c r="AK243" s="233"/>
      <c r="AL243" s="233"/>
      <c r="AM243" s="233"/>
      <c r="AN243" s="233"/>
      <c r="AO243" s="233"/>
      <c r="AP243" s="233"/>
      <c r="AQ243" s="233"/>
      <c r="AR243" s="233"/>
      <c r="AS243" s="233"/>
      <c r="AT243" s="233"/>
      <c r="AU243" s="233"/>
      <c r="AV243" s="233"/>
      <c r="AW243" s="233"/>
      <c r="AX243" s="233"/>
      <c r="AY243" s="233"/>
      <c r="AZ243" s="233"/>
      <c r="BA243" s="233"/>
    </row>
    <row r="244" spans="1:53" ht="19.5" customHeight="1">
      <c r="A244" s="233"/>
      <c r="B244" s="233"/>
      <c r="H244" s="233"/>
      <c r="I244" s="233"/>
      <c r="J244" s="233"/>
      <c r="K244" s="233"/>
      <c r="L244" s="233"/>
      <c r="M244" s="233"/>
      <c r="N244" s="233"/>
      <c r="O244" s="233"/>
      <c r="P244" s="233"/>
      <c r="Q244" s="233"/>
      <c r="R244" s="233"/>
      <c r="S244" s="233"/>
      <c r="T244" s="233"/>
      <c r="U244" s="233"/>
      <c r="V244" s="233"/>
      <c r="W244" s="233"/>
      <c r="X244" s="233"/>
      <c r="Y244" s="233"/>
      <c r="Z244" s="233"/>
      <c r="AA244" s="233"/>
      <c r="AB244" s="233"/>
      <c r="AC244" s="233"/>
      <c r="AD244" s="233"/>
      <c r="AE244" s="233"/>
      <c r="AF244" s="233"/>
      <c r="AG244" s="233"/>
      <c r="AH244" s="233"/>
      <c r="AI244" s="233"/>
      <c r="AJ244" s="233"/>
      <c r="AK244" s="233"/>
      <c r="AL244" s="233"/>
      <c r="AM244" s="233"/>
      <c r="AN244" s="233"/>
      <c r="AO244" s="233"/>
      <c r="AP244" s="233"/>
      <c r="AQ244" s="233"/>
      <c r="AR244" s="233"/>
      <c r="AS244" s="233"/>
      <c r="AT244" s="233"/>
      <c r="AU244" s="233"/>
      <c r="AV244" s="233"/>
      <c r="AW244" s="233"/>
      <c r="AX244" s="233"/>
      <c r="AY244" s="233"/>
      <c r="AZ244" s="233"/>
      <c r="BA244" s="233"/>
    </row>
    <row r="245" spans="1:53" ht="19.5" customHeight="1">
      <c r="A245" s="233"/>
      <c r="B245" s="233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233"/>
      <c r="U245" s="233"/>
      <c r="V245" s="233"/>
      <c r="W245" s="233"/>
      <c r="X245" s="233"/>
      <c r="Y245" s="233"/>
      <c r="Z245" s="233"/>
      <c r="AA245" s="233"/>
      <c r="AB245" s="233"/>
      <c r="AC245" s="233"/>
      <c r="AD245" s="233"/>
      <c r="AE245" s="233"/>
      <c r="AF245" s="233"/>
      <c r="AG245" s="233"/>
      <c r="AH245" s="233"/>
      <c r="AI245" s="233"/>
      <c r="AJ245" s="233"/>
      <c r="AK245" s="233"/>
      <c r="AL245" s="233"/>
      <c r="AM245" s="233"/>
      <c r="AN245" s="233"/>
      <c r="AO245" s="233"/>
      <c r="AP245" s="233"/>
      <c r="AQ245" s="233"/>
      <c r="AR245" s="233"/>
      <c r="AS245" s="233"/>
      <c r="AT245" s="233"/>
      <c r="AU245" s="233"/>
      <c r="AV245" s="233"/>
      <c r="AW245" s="233"/>
      <c r="AX245" s="233"/>
      <c r="AY245" s="233"/>
      <c r="AZ245" s="233"/>
      <c r="BA245" s="233"/>
    </row>
    <row r="246" spans="1:53" ht="19.5" customHeight="1">
      <c r="A246" s="233"/>
      <c r="B246" s="233"/>
      <c r="H246" s="233"/>
      <c r="I246" s="233"/>
      <c r="J246" s="233"/>
      <c r="K246" s="233"/>
      <c r="L246" s="233"/>
      <c r="M246" s="233"/>
      <c r="N246" s="233"/>
      <c r="O246" s="233"/>
      <c r="P246" s="233"/>
      <c r="Q246" s="233"/>
      <c r="R246" s="233"/>
      <c r="S246" s="233"/>
      <c r="T246" s="233"/>
      <c r="U246" s="233"/>
      <c r="V246" s="233"/>
      <c r="W246" s="233"/>
      <c r="X246" s="233"/>
      <c r="Y246" s="233"/>
      <c r="Z246" s="233"/>
      <c r="AA246" s="233"/>
      <c r="AB246" s="233"/>
      <c r="AC246" s="233"/>
      <c r="AD246" s="233"/>
      <c r="AE246" s="233"/>
      <c r="AF246" s="233"/>
      <c r="AG246" s="233"/>
      <c r="AH246" s="233"/>
      <c r="AI246" s="233"/>
      <c r="AJ246" s="233"/>
      <c r="AK246" s="233"/>
      <c r="AL246" s="233"/>
      <c r="AM246" s="233"/>
      <c r="AN246" s="233"/>
      <c r="AO246" s="233"/>
      <c r="AP246" s="233"/>
      <c r="AQ246" s="233"/>
      <c r="AR246" s="233"/>
      <c r="AS246" s="233"/>
      <c r="AT246" s="233"/>
      <c r="AU246" s="233"/>
      <c r="AV246" s="233"/>
      <c r="AW246" s="233"/>
      <c r="AX246" s="233"/>
      <c r="AY246" s="233"/>
      <c r="AZ246" s="233"/>
      <c r="BA246" s="233"/>
    </row>
    <row r="247" spans="1:53" ht="19.5" customHeight="1">
      <c r="A247" s="233"/>
      <c r="B247" s="233"/>
      <c r="H247" s="233"/>
      <c r="I247" s="233"/>
      <c r="J247" s="233"/>
      <c r="K247" s="233"/>
      <c r="L247" s="233"/>
      <c r="M247" s="233"/>
      <c r="N247" s="233"/>
      <c r="O247" s="233"/>
      <c r="P247" s="233"/>
      <c r="Q247" s="233"/>
      <c r="R247" s="233"/>
      <c r="S247" s="233"/>
      <c r="T247" s="233"/>
      <c r="U247" s="233"/>
      <c r="V247" s="233"/>
      <c r="W247" s="233"/>
      <c r="X247" s="233"/>
      <c r="Y247" s="233"/>
      <c r="Z247" s="233"/>
      <c r="AA247" s="233"/>
      <c r="AB247" s="233"/>
      <c r="AC247" s="233"/>
      <c r="AD247" s="233"/>
      <c r="AE247" s="233"/>
      <c r="AF247" s="233"/>
      <c r="AG247" s="233"/>
      <c r="AH247" s="233"/>
      <c r="AI247" s="233"/>
      <c r="AJ247" s="233"/>
      <c r="AK247" s="233"/>
      <c r="AL247" s="233"/>
      <c r="AM247" s="233"/>
      <c r="AN247" s="233"/>
      <c r="AO247" s="233"/>
      <c r="AP247" s="233"/>
      <c r="AQ247" s="233"/>
      <c r="AR247" s="233"/>
      <c r="AS247" s="233"/>
      <c r="AT247" s="233"/>
      <c r="AU247" s="233"/>
      <c r="AV247" s="233"/>
      <c r="AW247" s="233"/>
      <c r="AX247" s="233"/>
      <c r="AY247" s="233"/>
      <c r="AZ247" s="233"/>
      <c r="BA247" s="233"/>
    </row>
    <row r="248" spans="1:53" ht="19.5" customHeight="1">
      <c r="A248" s="233"/>
      <c r="B248" s="233"/>
      <c r="H248" s="233"/>
      <c r="I248" s="233"/>
      <c r="J248" s="233"/>
      <c r="K248" s="233"/>
      <c r="L248" s="233"/>
      <c r="M248" s="233"/>
      <c r="N248" s="233"/>
      <c r="O248" s="233"/>
      <c r="P248" s="233"/>
      <c r="Q248" s="233"/>
      <c r="R248" s="233"/>
      <c r="S248" s="233"/>
      <c r="T248" s="233"/>
      <c r="U248" s="233"/>
      <c r="V248" s="233"/>
      <c r="W248" s="233"/>
      <c r="X248" s="233"/>
      <c r="Y248" s="233"/>
      <c r="Z248" s="233"/>
      <c r="AA248" s="233"/>
      <c r="AB248" s="233"/>
      <c r="AC248" s="233"/>
      <c r="AD248" s="233"/>
      <c r="AE248" s="233"/>
      <c r="AF248" s="233"/>
      <c r="AG248" s="233"/>
      <c r="AH248" s="233"/>
      <c r="AI248" s="233"/>
      <c r="AJ248" s="233"/>
      <c r="AK248" s="233"/>
      <c r="AL248" s="233"/>
      <c r="AM248" s="233"/>
      <c r="AN248" s="233"/>
      <c r="AO248" s="233"/>
      <c r="AP248" s="233"/>
      <c r="AQ248" s="233"/>
      <c r="AR248" s="233"/>
      <c r="AS248" s="233"/>
      <c r="AT248" s="233"/>
      <c r="AU248" s="233"/>
      <c r="AV248" s="233"/>
      <c r="AW248" s="233"/>
      <c r="AX248" s="233"/>
      <c r="AY248" s="233"/>
      <c r="AZ248" s="233"/>
      <c r="BA248" s="233"/>
    </row>
    <row r="249" spans="1:53" ht="19.5" customHeight="1">
      <c r="A249" s="233"/>
      <c r="B249" s="233"/>
      <c r="H249" s="233"/>
      <c r="I249" s="233"/>
      <c r="J249" s="233"/>
      <c r="K249" s="233"/>
      <c r="L249" s="233"/>
      <c r="M249" s="233"/>
      <c r="N249" s="233"/>
      <c r="O249" s="233"/>
      <c r="P249" s="233"/>
      <c r="Q249" s="233"/>
      <c r="R249" s="233"/>
      <c r="S249" s="233"/>
      <c r="T249" s="233"/>
      <c r="U249" s="233"/>
      <c r="V249" s="233"/>
      <c r="W249" s="233"/>
      <c r="X249" s="233"/>
      <c r="Y249" s="233"/>
      <c r="Z249" s="233"/>
      <c r="AA249" s="233"/>
      <c r="AB249" s="233"/>
      <c r="AC249" s="233"/>
      <c r="AD249" s="233"/>
      <c r="AE249" s="233"/>
      <c r="AF249" s="233"/>
      <c r="AG249" s="233"/>
      <c r="AH249" s="233"/>
      <c r="AI249" s="233"/>
      <c r="AJ249" s="233"/>
      <c r="AK249" s="233"/>
      <c r="AL249" s="233"/>
      <c r="AM249" s="233"/>
      <c r="AN249" s="233"/>
      <c r="AO249" s="233"/>
      <c r="AP249" s="233"/>
      <c r="AQ249" s="233"/>
      <c r="AR249" s="233"/>
      <c r="AS249" s="233"/>
      <c r="AT249" s="233"/>
      <c r="AU249" s="233"/>
      <c r="AV249" s="233"/>
      <c r="AW249" s="233"/>
      <c r="AX249" s="233"/>
      <c r="AY249" s="233"/>
      <c r="AZ249" s="233"/>
      <c r="BA249" s="233"/>
    </row>
    <row r="250" spans="1:53" ht="19.5" customHeight="1">
      <c r="A250" s="233"/>
      <c r="B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3"/>
      <c r="Z250" s="233"/>
      <c r="AA250" s="233"/>
      <c r="AB250" s="233"/>
      <c r="AC250" s="233"/>
      <c r="AD250" s="233"/>
      <c r="AE250" s="233"/>
      <c r="AF250" s="233"/>
      <c r="AG250" s="233"/>
      <c r="AH250" s="233"/>
      <c r="AI250" s="233"/>
      <c r="AJ250" s="233"/>
      <c r="AK250" s="233"/>
      <c r="AL250" s="233"/>
      <c r="AM250" s="233"/>
      <c r="AN250" s="233"/>
      <c r="AO250" s="233"/>
      <c r="AP250" s="233"/>
      <c r="AQ250" s="233"/>
      <c r="AR250" s="233"/>
      <c r="AS250" s="233"/>
      <c r="AT250" s="233"/>
      <c r="AU250" s="233"/>
      <c r="AV250" s="233"/>
      <c r="AW250" s="233"/>
      <c r="AX250" s="233"/>
      <c r="AY250" s="233"/>
      <c r="AZ250" s="233"/>
      <c r="BA250" s="233"/>
    </row>
    <row r="251" spans="1:53" ht="19.5" customHeight="1">
      <c r="A251" s="233"/>
      <c r="B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233"/>
      <c r="AO251" s="233"/>
      <c r="AP251" s="233"/>
      <c r="AQ251" s="233"/>
      <c r="AR251" s="233"/>
      <c r="AS251" s="233"/>
      <c r="AT251" s="233"/>
      <c r="AU251" s="233"/>
      <c r="AV251" s="233"/>
      <c r="AW251" s="233"/>
      <c r="AX251" s="233"/>
      <c r="AY251" s="233"/>
      <c r="AZ251" s="233"/>
      <c r="BA251" s="233"/>
    </row>
    <row r="252" spans="1:53" ht="19.5" customHeight="1">
      <c r="A252" s="233"/>
      <c r="B252" s="233"/>
      <c r="H252" s="233"/>
      <c r="I252" s="233"/>
      <c r="J252" s="233"/>
      <c r="K252" s="233"/>
      <c r="L252" s="233"/>
      <c r="M252" s="233"/>
      <c r="N252" s="233"/>
      <c r="O252" s="233"/>
      <c r="P252" s="233"/>
      <c r="Q252" s="233"/>
      <c r="R252" s="233"/>
      <c r="S252" s="233"/>
      <c r="T252" s="233"/>
      <c r="U252" s="233"/>
      <c r="V252" s="233"/>
      <c r="W252" s="233"/>
      <c r="X252" s="233"/>
      <c r="Y252" s="233"/>
      <c r="Z252" s="233"/>
      <c r="AA252" s="233"/>
      <c r="AB252" s="233"/>
      <c r="AC252" s="233"/>
      <c r="AD252" s="233"/>
      <c r="AE252" s="233"/>
      <c r="AF252" s="233"/>
      <c r="AG252" s="233"/>
      <c r="AH252" s="233"/>
      <c r="AI252" s="233"/>
      <c r="AJ252" s="233"/>
      <c r="AK252" s="233"/>
      <c r="AL252" s="233"/>
      <c r="AM252" s="233"/>
      <c r="AN252" s="233"/>
      <c r="AO252" s="233"/>
      <c r="AP252" s="233"/>
      <c r="AQ252" s="233"/>
      <c r="AR252" s="233"/>
      <c r="AS252" s="233"/>
      <c r="AT252" s="233"/>
      <c r="AU252" s="233"/>
      <c r="AV252" s="233"/>
      <c r="AW252" s="233"/>
      <c r="AX252" s="233"/>
      <c r="AY252" s="233"/>
      <c r="AZ252" s="233"/>
      <c r="BA252" s="233"/>
    </row>
    <row r="253" spans="1:53" ht="19.5" customHeight="1">
      <c r="A253" s="233"/>
      <c r="B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3"/>
      <c r="AI253" s="233"/>
      <c r="AJ253" s="233"/>
      <c r="AK253" s="233"/>
      <c r="AL253" s="233"/>
      <c r="AM253" s="233"/>
      <c r="AN253" s="233"/>
      <c r="AO253" s="233"/>
      <c r="AP253" s="233"/>
      <c r="AQ253" s="233"/>
      <c r="AR253" s="233"/>
      <c r="AS253" s="233"/>
      <c r="AT253" s="233"/>
      <c r="AU253" s="233"/>
      <c r="AV253" s="233"/>
      <c r="AW253" s="233"/>
      <c r="AX253" s="233"/>
      <c r="AY253" s="233"/>
      <c r="AZ253" s="233"/>
      <c r="BA253" s="233"/>
    </row>
    <row r="254" spans="1:53" ht="19.5" customHeight="1">
      <c r="A254" s="233"/>
      <c r="B254" s="233"/>
      <c r="H254" s="233"/>
      <c r="I254" s="233"/>
      <c r="J254" s="233"/>
      <c r="K254" s="233"/>
      <c r="L254" s="233"/>
      <c r="M254" s="233"/>
      <c r="N254" s="233"/>
      <c r="O254" s="233"/>
      <c r="P254" s="233"/>
      <c r="Q254" s="233"/>
      <c r="R254" s="233"/>
      <c r="S254" s="233"/>
      <c r="T254" s="233"/>
      <c r="U254" s="233"/>
      <c r="V254" s="233"/>
      <c r="W254" s="233"/>
      <c r="X254" s="233"/>
      <c r="Y254" s="233"/>
      <c r="Z254" s="233"/>
      <c r="AA254" s="233"/>
      <c r="AB254" s="233"/>
      <c r="AC254" s="233"/>
      <c r="AD254" s="233"/>
      <c r="AE254" s="233"/>
      <c r="AF254" s="233"/>
      <c r="AG254" s="233"/>
      <c r="AH254" s="233"/>
      <c r="AI254" s="233"/>
      <c r="AJ254" s="233"/>
      <c r="AK254" s="233"/>
      <c r="AL254" s="233"/>
      <c r="AM254" s="233"/>
      <c r="AN254" s="233"/>
      <c r="AO254" s="233"/>
      <c r="AP254" s="233"/>
      <c r="AQ254" s="233"/>
      <c r="AR254" s="233"/>
      <c r="AS254" s="233"/>
      <c r="AT254" s="233"/>
      <c r="AU254" s="233"/>
      <c r="AV254" s="233"/>
      <c r="AW254" s="233"/>
      <c r="AX254" s="233"/>
      <c r="AY254" s="233"/>
      <c r="AZ254" s="233"/>
      <c r="BA254" s="233"/>
    </row>
    <row r="255" spans="1:53" ht="19.5" customHeight="1">
      <c r="A255" s="233"/>
      <c r="B255" s="233"/>
      <c r="H255" s="233"/>
      <c r="I255" s="233"/>
      <c r="J255" s="233"/>
      <c r="K255" s="233"/>
      <c r="L255" s="233"/>
      <c r="M255" s="233"/>
      <c r="N255" s="233"/>
      <c r="O255" s="233"/>
      <c r="P255" s="233"/>
      <c r="Q255" s="233"/>
      <c r="R255" s="233"/>
      <c r="S255" s="233"/>
      <c r="T255" s="233"/>
      <c r="U255" s="233"/>
      <c r="V255" s="233"/>
      <c r="W255" s="233"/>
      <c r="X255" s="233"/>
      <c r="Y255" s="233"/>
      <c r="Z255" s="233"/>
      <c r="AA255" s="233"/>
      <c r="AB255" s="233"/>
      <c r="AC255" s="233"/>
      <c r="AD255" s="233"/>
      <c r="AE255" s="233"/>
      <c r="AF255" s="233"/>
      <c r="AG255" s="233"/>
      <c r="AH255" s="233"/>
      <c r="AI255" s="233"/>
      <c r="AJ255" s="233"/>
      <c r="AK255" s="233"/>
      <c r="AL255" s="233"/>
      <c r="AM255" s="233"/>
      <c r="AN255" s="233"/>
      <c r="AO255" s="233"/>
      <c r="AP255" s="233"/>
      <c r="AQ255" s="233"/>
      <c r="AR255" s="233"/>
      <c r="AS255" s="233"/>
      <c r="AT255" s="233"/>
      <c r="AU255" s="233"/>
      <c r="AV255" s="233"/>
      <c r="AW255" s="233"/>
      <c r="AX255" s="233"/>
      <c r="AY255" s="233"/>
      <c r="AZ255" s="233"/>
      <c r="BA255" s="233"/>
    </row>
    <row r="256" spans="1:53" ht="19.5" customHeight="1">
      <c r="A256" s="233"/>
      <c r="B256" s="233"/>
      <c r="H256" s="233"/>
      <c r="I256" s="233"/>
      <c r="J256" s="233"/>
      <c r="K256" s="233"/>
      <c r="L256" s="233"/>
      <c r="M256" s="233"/>
      <c r="N256" s="233"/>
      <c r="O256" s="233"/>
      <c r="P256" s="233"/>
      <c r="Q256" s="233"/>
      <c r="R256" s="233"/>
      <c r="S256" s="233"/>
      <c r="T256" s="233"/>
      <c r="U256" s="233"/>
      <c r="V256" s="233"/>
      <c r="W256" s="233"/>
      <c r="X256" s="233"/>
      <c r="Y256" s="233"/>
      <c r="Z256" s="233"/>
      <c r="AA256" s="233"/>
      <c r="AB256" s="233"/>
      <c r="AC256" s="233"/>
      <c r="AD256" s="233"/>
      <c r="AE256" s="233"/>
      <c r="AF256" s="233"/>
      <c r="AG256" s="233"/>
      <c r="AH256" s="233"/>
      <c r="AI256" s="233"/>
      <c r="AJ256" s="233"/>
      <c r="AK256" s="233"/>
      <c r="AL256" s="233"/>
      <c r="AM256" s="233"/>
      <c r="AN256" s="233"/>
      <c r="AO256" s="233"/>
      <c r="AP256" s="233"/>
      <c r="AQ256" s="233"/>
      <c r="AR256" s="233"/>
      <c r="AS256" s="233"/>
      <c r="AT256" s="233"/>
      <c r="AU256" s="233"/>
      <c r="AV256" s="233"/>
      <c r="AW256" s="233"/>
      <c r="AX256" s="233"/>
      <c r="AY256" s="233"/>
      <c r="AZ256" s="233"/>
      <c r="BA256" s="233"/>
    </row>
    <row r="257" spans="1:53" ht="19.5" customHeight="1">
      <c r="A257" s="233"/>
      <c r="B257" s="233"/>
      <c r="H257" s="233"/>
      <c r="I257" s="233"/>
      <c r="J257" s="233"/>
      <c r="K257" s="233"/>
      <c r="L257" s="233"/>
      <c r="M257" s="233"/>
      <c r="N257" s="233"/>
      <c r="O257" s="233"/>
      <c r="P257" s="233"/>
      <c r="Q257" s="233"/>
      <c r="R257" s="233"/>
      <c r="S257" s="233"/>
      <c r="T257" s="233"/>
      <c r="U257" s="233"/>
      <c r="V257" s="233"/>
      <c r="W257" s="233"/>
      <c r="X257" s="233"/>
      <c r="Y257" s="233"/>
      <c r="Z257" s="233"/>
      <c r="AA257" s="233"/>
      <c r="AB257" s="233"/>
      <c r="AC257" s="233"/>
      <c r="AD257" s="233"/>
      <c r="AE257" s="233"/>
      <c r="AF257" s="233"/>
      <c r="AG257" s="233"/>
      <c r="AH257" s="233"/>
      <c r="AI257" s="233"/>
      <c r="AJ257" s="233"/>
      <c r="AK257" s="233"/>
      <c r="AL257" s="233"/>
      <c r="AM257" s="233"/>
      <c r="AN257" s="233"/>
      <c r="AO257" s="233"/>
      <c r="AP257" s="233"/>
      <c r="AQ257" s="233"/>
      <c r="AR257" s="233"/>
      <c r="AS257" s="233"/>
      <c r="AT257" s="233"/>
      <c r="AU257" s="233"/>
      <c r="AV257" s="233"/>
      <c r="AW257" s="233"/>
      <c r="AX257" s="233"/>
      <c r="AY257" s="233"/>
      <c r="AZ257" s="233"/>
      <c r="BA257" s="233"/>
    </row>
    <row r="258" spans="1:53" ht="19.5" customHeight="1">
      <c r="A258" s="233"/>
      <c r="B258" s="233"/>
      <c r="H258" s="233"/>
      <c r="I258" s="233"/>
      <c r="J258" s="233"/>
      <c r="K258" s="233"/>
      <c r="L258" s="233"/>
      <c r="M258" s="233"/>
      <c r="N258" s="233"/>
      <c r="O258" s="233"/>
      <c r="P258" s="233"/>
      <c r="Q258" s="233"/>
      <c r="R258" s="233"/>
      <c r="S258" s="233"/>
      <c r="T258" s="233"/>
      <c r="U258" s="233"/>
      <c r="V258" s="233"/>
      <c r="W258" s="233"/>
      <c r="X258" s="233"/>
      <c r="Y258" s="233"/>
      <c r="Z258" s="233"/>
      <c r="AA258" s="233"/>
      <c r="AB258" s="233"/>
      <c r="AC258" s="233"/>
      <c r="AD258" s="233"/>
      <c r="AE258" s="233"/>
      <c r="AF258" s="233"/>
      <c r="AG258" s="233"/>
      <c r="AH258" s="233"/>
      <c r="AI258" s="233"/>
      <c r="AJ258" s="233"/>
      <c r="AK258" s="233"/>
      <c r="AL258" s="233"/>
      <c r="AM258" s="233"/>
      <c r="AN258" s="233"/>
      <c r="AO258" s="233"/>
      <c r="AP258" s="233"/>
      <c r="AQ258" s="233"/>
      <c r="AR258" s="233"/>
      <c r="AS258" s="233"/>
      <c r="AT258" s="233"/>
      <c r="AU258" s="233"/>
      <c r="AV258" s="233"/>
      <c r="AW258" s="233"/>
      <c r="AX258" s="233"/>
      <c r="AY258" s="233"/>
      <c r="AZ258" s="233"/>
      <c r="BA258" s="233"/>
    </row>
    <row r="259" spans="1:53" ht="19.5" customHeight="1">
      <c r="A259" s="233"/>
      <c r="B259" s="233"/>
      <c r="H259" s="233"/>
      <c r="I259" s="233"/>
      <c r="J259" s="233"/>
      <c r="K259" s="233"/>
      <c r="L259" s="233"/>
      <c r="M259" s="233"/>
      <c r="N259" s="233"/>
      <c r="O259" s="233"/>
      <c r="P259" s="233"/>
      <c r="Q259" s="233"/>
      <c r="R259" s="233"/>
      <c r="S259" s="233"/>
      <c r="T259" s="233"/>
      <c r="U259" s="233"/>
      <c r="V259" s="233"/>
      <c r="W259" s="233"/>
      <c r="X259" s="233"/>
      <c r="Y259" s="233"/>
      <c r="Z259" s="233"/>
      <c r="AA259" s="233"/>
      <c r="AB259" s="233"/>
      <c r="AC259" s="233"/>
      <c r="AD259" s="233"/>
      <c r="AE259" s="233"/>
      <c r="AF259" s="233"/>
      <c r="AG259" s="233"/>
      <c r="AH259" s="233"/>
      <c r="AI259" s="233"/>
      <c r="AJ259" s="233"/>
      <c r="AK259" s="233"/>
      <c r="AL259" s="233"/>
      <c r="AM259" s="233"/>
      <c r="AN259" s="233"/>
      <c r="AO259" s="233"/>
      <c r="AP259" s="233"/>
      <c r="AQ259" s="233"/>
      <c r="AR259" s="233"/>
      <c r="AS259" s="233"/>
      <c r="AT259" s="233"/>
      <c r="AU259" s="233"/>
      <c r="AV259" s="233"/>
      <c r="AW259" s="233"/>
      <c r="AX259" s="233"/>
      <c r="AY259" s="233"/>
      <c r="AZ259" s="233"/>
      <c r="BA259" s="233"/>
    </row>
    <row r="260" spans="1:53" ht="19.5" customHeight="1">
      <c r="A260" s="233"/>
      <c r="B260" s="233"/>
      <c r="H260" s="233"/>
      <c r="I260" s="233"/>
      <c r="J260" s="233"/>
      <c r="K260" s="233"/>
      <c r="L260" s="233"/>
      <c r="M260" s="233"/>
      <c r="N260" s="233"/>
      <c r="O260" s="233"/>
      <c r="P260" s="233"/>
      <c r="Q260" s="233"/>
      <c r="R260" s="233"/>
      <c r="S260" s="233"/>
      <c r="T260" s="233"/>
      <c r="U260" s="233"/>
      <c r="V260" s="233"/>
      <c r="W260" s="233"/>
      <c r="X260" s="233"/>
      <c r="Y260" s="233"/>
      <c r="Z260" s="233"/>
      <c r="AA260" s="233"/>
      <c r="AB260" s="233"/>
      <c r="AC260" s="233"/>
      <c r="AD260" s="233"/>
      <c r="AE260" s="233"/>
      <c r="AF260" s="233"/>
      <c r="AG260" s="233"/>
      <c r="AH260" s="233"/>
      <c r="AI260" s="233"/>
      <c r="AJ260" s="233"/>
      <c r="AK260" s="233"/>
      <c r="AL260" s="233"/>
      <c r="AM260" s="233"/>
      <c r="AN260" s="233"/>
      <c r="AO260" s="233"/>
      <c r="AP260" s="233"/>
      <c r="AQ260" s="233"/>
      <c r="AR260" s="233"/>
      <c r="AS260" s="233"/>
      <c r="AT260" s="233"/>
      <c r="AU260" s="233"/>
      <c r="AV260" s="233"/>
      <c r="AW260" s="233"/>
      <c r="AX260" s="233"/>
      <c r="AY260" s="233"/>
      <c r="AZ260" s="233"/>
      <c r="BA260" s="233"/>
    </row>
    <row r="261" spans="1:53" ht="19.5" customHeight="1">
      <c r="A261" s="233"/>
      <c r="B261" s="233"/>
      <c r="H261" s="233"/>
      <c r="I261" s="233"/>
      <c r="J261" s="233"/>
      <c r="K261" s="233"/>
      <c r="L261" s="233"/>
      <c r="M261" s="233"/>
      <c r="N261" s="233"/>
      <c r="O261" s="233"/>
      <c r="P261" s="233"/>
      <c r="Q261" s="233"/>
      <c r="R261" s="233"/>
      <c r="S261" s="233"/>
      <c r="T261" s="233"/>
      <c r="U261" s="233"/>
      <c r="V261" s="233"/>
      <c r="W261" s="233"/>
      <c r="X261" s="233"/>
      <c r="Y261" s="233"/>
      <c r="Z261" s="233"/>
      <c r="AA261" s="233"/>
      <c r="AB261" s="233"/>
      <c r="AC261" s="233"/>
      <c r="AD261" s="233"/>
      <c r="AE261" s="233"/>
      <c r="AF261" s="233"/>
      <c r="AG261" s="233"/>
      <c r="AH261" s="233"/>
      <c r="AI261" s="233"/>
      <c r="AJ261" s="233"/>
      <c r="AK261" s="233"/>
      <c r="AL261" s="233"/>
      <c r="AM261" s="233"/>
      <c r="AN261" s="233"/>
      <c r="AO261" s="233"/>
      <c r="AP261" s="233"/>
      <c r="AQ261" s="233"/>
      <c r="AR261" s="233"/>
      <c r="AS261" s="233"/>
      <c r="AT261" s="233"/>
      <c r="AU261" s="233"/>
      <c r="AV261" s="233"/>
      <c r="AW261" s="233"/>
      <c r="AX261" s="233"/>
      <c r="AY261" s="233"/>
      <c r="AZ261" s="233"/>
      <c r="BA261" s="233"/>
    </row>
    <row r="262" spans="1:53" ht="19.5" customHeight="1">
      <c r="A262" s="233"/>
      <c r="B262" s="233"/>
      <c r="H262" s="233"/>
      <c r="I262" s="233"/>
      <c r="J262" s="233"/>
      <c r="K262" s="233"/>
      <c r="L262" s="233"/>
      <c r="M262" s="233"/>
      <c r="N262" s="233"/>
      <c r="O262" s="233"/>
      <c r="P262" s="233"/>
      <c r="Q262" s="233"/>
      <c r="R262" s="233"/>
      <c r="S262" s="233"/>
      <c r="T262" s="233"/>
      <c r="U262" s="233"/>
      <c r="V262" s="233"/>
      <c r="W262" s="233"/>
      <c r="X262" s="233"/>
      <c r="Y262" s="233"/>
      <c r="Z262" s="233"/>
      <c r="AA262" s="233"/>
      <c r="AB262" s="233"/>
      <c r="AC262" s="233"/>
      <c r="AD262" s="233"/>
      <c r="AE262" s="233"/>
      <c r="AF262" s="233"/>
      <c r="AG262" s="233"/>
      <c r="AH262" s="233"/>
      <c r="AI262" s="233"/>
      <c r="AJ262" s="233"/>
      <c r="AK262" s="233"/>
      <c r="AL262" s="233"/>
      <c r="AM262" s="233"/>
      <c r="AN262" s="233"/>
      <c r="AO262" s="233"/>
      <c r="AP262" s="233"/>
      <c r="AQ262" s="233"/>
      <c r="AR262" s="233"/>
      <c r="AS262" s="233"/>
      <c r="AT262" s="233"/>
      <c r="AU262" s="233"/>
      <c r="AV262" s="233"/>
      <c r="AW262" s="233"/>
      <c r="AX262" s="233"/>
      <c r="AY262" s="233"/>
      <c r="AZ262" s="233"/>
      <c r="BA262" s="233"/>
    </row>
    <row r="263" spans="1:53" ht="19.5" customHeight="1">
      <c r="A263" s="233"/>
      <c r="B263" s="233"/>
      <c r="H263" s="233"/>
      <c r="I263" s="233"/>
      <c r="J263" s="233"/>
      <c r="K263" s="233"/>
      <c r="L263" s="233"/>
      <c r="M263" s="233"/>
      <c r="N263" s="233"/>
      <c r="O263" s="233"/>
      <c r="P263" s="233"/>
      <c r="Q263" s="233"/>
      <c r="R263" s="233"/>
      <c r="S263" s="233"/>
      <c r="T263" s="233"/>
      <c r="U263" s="233"/>
      <c r="V263" s="233"/>
      <c r="W263" s="233"/>
      <c r="X263" s="233"/>
      <c r="Y263" s="233"/>
      <c r="Z263" s="233"/>
      <c r="AA263" s="233"/>
      <c r="AB263" s="233"/>
      <c r="AC263" s="233"/>
      <c r="AD263" s="233"/>
      <c r="AE263" s="233"/>
      <c r="AF263" s="233"/>
      <c r="AG263" s="233"/>
      <c r="AH263" s="233"/>
      <c r="AI263" s="233"/>
      <c r="AJ263" s="233"/>
      <c r="AK263" s="233"/>
      <c r="AL263" s="233"/>
      <c r="AM263" s="233"/>
      <c r="AN263" s="233"/>
      <c r="AO263" s="233"/>
      <c r="AP263" s="233"/>
      <c r="AQ263" s="233"/>
      <c r="AR263" s="233"/>
      <c r="AS263" s="233"/>
      <c r="AT263" s="233"/>
      <c r="AU263" s="233"/>
      <c r="AV263" s="233"/>
      <c r="AW263" s="233"/>
      <c r="AX263" s="233"/>
      <c r="AY263" s="233"/>
      <c r="AZ263" s="233"/>
      <c r="BA263" s="233"/>
    </row>
    <row r="264" spans="1:53" ht="19.5" customHeight="1">
      <c r="A264" s="233"/>
      <c r="B264" s="233"/>
      <c r="H264" s="233"/>
      <c r="I264" s="233"/>
      <c r="J264" s="233"/>
      <c r="K264" s="233"/>
      <c r="L264" s="233"/>
      <c r="M264" s="233"/>
      <c r="N264" s="233"/>
      <c r="O264" s="233"/>
      <c r="P264" s="233"/>
      <c r="Q264" s="233"/>
      <c r="R264" s="233"/>
      <c r="S264" s="233"/>
      <c r="T264" s="233"/>
      <c r="U264" s="233"/>
      <c r="V264" s="233"/>
      <c r="W264" s="233"/>
      <c r="X264" s="233"/>
      <c r="Y264" s="233"/>
      <c r="Z264" s="233"/>
      <c r="AA264" s="233"/>
      <c r="AB264" s="233"/>
      <c r="AC264" s="233"/>
      <c r="AD264" s="233"/>
      <c r="AE264" s="233"/>
      <c r="AF264" s="233"/>
      <c r="AG264" s="233"/>
      <c r="AH264" s="233"/>
      <c r="AI264" s="233"/>
      <c r="AJ264" s="233"/>
      <c r="AK264" s="233"/>
      <c r="AL264" s="233"/>
      <c r="AM264" s="233"/>
      <c r="AN264" s="233"/>
      <c r="AO264" s="233"/>
      <c r="AP264" s="233"/>
      <c r="AQ264" s="233"/>
      <c r="AR264" s="233"/>
      <c r="AS264" s="233"/>
      <c r="AT264" s="233"/>
      <c r="AU264" s="233"/>
      <c r="AV264" s="233"/>
      <c r="AW264" s="233"/>
      <c r="AX264" s="233"/>
      <c r="AY264" s="233"/>
      <c r="AZ264" s="233"/>
      <c r="BA264" s="233"/>
    </row>
    <row r="265" spans="1:53" ht="19.5" customHeight="1">
      <c r="A265" s="233"/>
      <c r="B265" s="233"/>
      <c r="H265" s="233"/>
      <c r="I265" s="233"/>
      <c r="J265" s="233"/>
      <c r="K265" s="233"/>
      <c r="L265" s="233"/>
      <c r="M265" s="233"/>
      <c r="N265" s="233"/>
      <c r="O265" s="233"/>
      <c r="P265" s="233"/>
      <c r="Q265" s="233"/>
      <c r="R265" s="233"/>
      <c r="S265" s="233"/>
      <c r="T265" s="233"/>
      <c r="U265" s="233"/>
      <c r="V265" s="233"/>
      <c r="W265" s="233"/>
      <c r="X265" s="233"/>
      <c r="Y265" s="233"/>
      <c r="Z265" s="233"/>
      <c r="AA265" s="233"/>
      <c r="AB265" s="233"/>
      <c r="AC265" s="233"/>
      <c r="AD265" s="233"/>
      <c r="AE265" s="233"/>
      <c r="AF265" s="233"/>
      <c r="AG265" s="233"/>
      <c r="AH265" s="233"/>
      <c r="AI265" s="233"/>
      <c r="AJ265" s="233"/>
      <c r="AK265" s="233"/>
      <c r="AL265" s="233"/>
      <c r="AM265" s="233"/>
      <c r="AN265" s="233"/>
      <c r="AO265" s="233"/>
      <c r="AP265" s="233"/>
      <c r="AQ265" s="233"/>
      <c r="AR265" s="233"/>
      <c r="AS265" s="233"/>
      <c r="AT265" s="233"/>
      <c r="AU265" s="233"/>
      <c r="AV265" s="233"/>
      <c r="AW265" s="233"/>
      <c r="AX265" s="233"/>
      <c r="AY265" s="233"/>
      <c r="AZ265" s="233"/>
      <c r="BA265" s="233"/>
    </row>
    <row r="266" spans="1:53" ht="19.5" customHeight="1">
      <c r="A266" s="233"/>
      <c r="B266" s="233"/>
      <c r="H266" s="233"/>
      <c r="I266" s="233"/>
      <c r="J266" s="233"/>
      <c r="K266" s="233"/>
      <c r="L266" s="233"/>
      <c r="M266" s="233"/>
      <c r="N266" s="233"/>
      <c r="O266" s="233"/>
      <c r="P266" s="233"/>
      <c r="Q266" s="233"/>
      <c r="R266" s="233"/>
      <c r="S266" s="233"/>
      <c r="T266" s="233"/>
      <c r="U266" s="233"/>
      <c r="V266" s="233"/>
      <c r="W266" s="233"/>
      <c r="X266" s="233"/>
      <c r="Y266" s="233"/>
      <c r="Z266" s="233"/>
      <c r="AA266" s="233"/>
      <c r="AB266" s="233"/>
      <c r="AC266" s="233"/>
      <c r="AD266" s="233"/>
      <c r="AE266" s="233"/>
      <c r="AF266" s="233"/>
      <c r="AG266" s="233"/>
      <c r="AH266" s="233"/>
      <c r="AI266" s="233"/>
      <c r="AJ266" s="233"/>
      <c r="AK266" s="233"/>
      <c r="AL266" s="233"/>
      <c r="AM266" s="233"/>
      <c r="AN266" s="233"/>
      <c r="AO266" s="233"/>
      <c r="AP266" s="233"/>
      <c r="AQ266" s="233"/>
      <c r="AR266" s="233"/>
      <c r="AS266" s="233"/>
      <c r="AT266" s="233"/>
      <c r="AU266" s="233"/>
      <c r="AV266" s="233"/>
      <c r="AW266" s="233"/>
      <c r="AX266" s="233"/>
      <c r="AY266" s="233"/>
      <c r="AZ266" s="233"/>
      <c r="BA266" s="233"/>
    </row>
    <row r="267" spans="1:53" ht="19.5" customHeight="1">
      <c r="A267" s="233"/>
      <c r="B267" s="233"/>
      <c r="H267" s="233"/>
      <c r="I267" s="233"/>
      <c r="J267" s="233"/>
      <c r="K267" s="233"/>
      <c r="L267" s="233"/>
      <c r="M267" s="233"/>
      <c r="N267" s="233"/>
      <c r="O267" s="233"/>
      <c r="P267" s="233"/>
      <c r="Q267" s="233"/>
      <c r="R267" s="233"/>
      <c r="S267" s="233"/>
      <c r="T267" s="233"/>
      <c r="U267" s="233"/>
      <c r="V267" s="233"/>
      <c r="W267" s="233"/>
      <c r="X267" s="233"/>
      <c r="Y267" s="233"/>
      <c r="Z267" s="233"/>
      <c r="AA267" s="233"/>
      <c r="AB267" s="233"/>
      <c r="AC267" s="233"/>
      <c r="AD267" s="233"/>
      <c r="AE267" s="233"/>
      <c r="AF267" s="233"/>
      <c r="AG267" s="233"/>
      <c r="AH267" s="233"/>
      <c r="AI267" s="233"/>
      <c r="AJ267" s="233"/>
      <c r="AK267" s="233"/>
      <c r="AL267" s="233"/>
      <c r="AM267" s="233"/>
      <c r="AN267" s="233"/>
      <c r="AO267" s="233"/>
      <c r="AP267" s="233"/>
      <c r="AQ267" s="233"/>
      <c r="AR267" s="233"/>
      <c r="AS267" s="233"/>
      <c r="AT267" s="233"/>
      <c r="AU267" s="233"/>
      <c r="AV267" s="233"/>
      <c r="AW267" s="233"/>
      <c r="AX267" s="233"/>
      <c r="AY267" s="233"/>
      <c r="AZ267" s="233"/>
      <c r="BA267" s="233"/>
    </row>
    <row r="268" spans="1:53" ht="19.5" customHeight="1">
      <c r="A268" s="233"/>
      <c r="B268" s="233"/>
      <c r="H268" s="233"/>
      <c r="I268" s="233"/>
      <c r="J268" s="233"/>
      <c r="K268" s="233"/>
      <c r="L268" s="233"/>
      <c r="M268" s="233"/>
      <c r="N268" s="233"/>
      <c r="O268" s="233"/>
      <c r="P268" s="233"/>
      <c r="Q268" s="233"/>
      <c r="R268" s="233"/>
      <c r="S268" s="233"/>
      <c r="T268" s="233"/>
      <c r="U268" s="233"/>
      <c r="V268" s="233"/>
      <c r="W268" s="233"/>
      <c r="X268" s="233"/>
      <c r="Y268" s="233"/>
      <c r="Z268" s="233"/>
      <c r="AA268" s="233"/>
      <c r="AB268" s="233"/>
      <c r="AC268" s="233"/>
      <c r="AD268" s="233"/>
      <c r="AE268" s="233"/>
      <c r="AF268" s="233"/>
      <c r="AG268" s="233"/>
      <c r="AH268" s="233"/>
      <c r="AI268" s="233"/>
      <c r="AJ268" s="233"/>
      <c r="AK268" s="233"/>
      <c r="AL268" s="233"/>
      <c r="AM268" s="233"/>
      <c r="AN268" s="233"/>
      <c r="AO268" s="233"/>
      <c r="AP268" s="233"/>
      <c r="AQ268" s="233"/>
      <c r="AR268" s="233"/>
      <c r="AS268" s="233"/>
      <c r="AT268" s="233"/>
      <c r="AU268" s="233"/>
      <c r="AV268" s="233"/>
      <c r="AW268" s="233"/>
      <c r="AX268" s="233"/>
      <c r="AY268" s="233"/>
      <c r="AZ268" s="233"/>
      <c r="BA268" s="233"/>
    </row>
    <row r="269" spans="1:53" ht="19.5" customHeight="1">
      <c r="A269" s="233"/>
      <c r="B269" s="233"/>
      <c r="H269" s="233"/>
      <c r="I269" s="233"/>
      <c r="J269" s="233"/>
      <c r="K269" s="233"/>
      <c r="L269" s="233"/>
      <c r="M269" s="233"/>
      <c r="N269" s="233"/>
      <c r="O269" s="233"/>
      <c r="P269" s="233"/>
      <c r="Q269" s="233"/>
      <c r="R269" s="233"/>
      <c r="S269" s="233"/>
      <c r="T269" s="233"/>
      <c r="U269" s="233"/>
      <c r="V269" s="233"/>
      <c r="W269" s="233"/>
      <c r="X269" s="233"/>
      <c r="Y269" s="233"/>
      <c r="Z269" s="233"/>
      <c r="AA269" s="233"/>
      <c r="AB269" s="233"/>
      <c r="AC269" s="233"/>
      <c r="AD269" s="233"/>
      <c r="AE269" s="233"/>
      <c r="AF269" s="233"/>
      <c r="AG269" s="233"/>
      <c r="AH269" s="233"/>
      <c r="AI269" s="233"/>
      <c r="AJ269" s="233"/>
      <c r="AK269" s="233"/>
      <c r="AL269" s="233"/>
      <c r="AM269" s="233"/>
      <c r="AN269" s="233"/>
      <c r="AO269" s="233"/>
      <c r="AP269" s="233"/>
      <c r="AQ269" s="233"/>
      <c r="AR269" s="233"/>
      <c r="AS269" s="233"/>
      <c r="AT269" s="233"/>
      <c r="AU269" s="233"/>
      <c r="AV269" s="233"/>
      <c r="AW269" s="233"/>
      <c r="AX269" s="233"/>
      <c r="AY269" s="233"/>
      <c r="AZ269" s="233"/>
      <c r="BA269" s="233"/>
    </row>
    <row r="270" spans="1:53" ht="19.5" customHeight="1">
      <c r="A270" s="233"/>
      <c r="B270" s="233"/>
      <c r="H270" s="233"/>
      <c r="I270" s="233"/>
      <c r="J270" s="233"/>
      <c r="K270" s="233"/>
      <c r="L270" s="233"/>
      <c r="M270" s="233"/>
      <c r="N270" s="233"/>
      <c r="O270" s="233"/>
      <c r="P270" s="233"/>
      <c r="Q270" s="233"/>
      <c r="R270" s="233"/>
      <c r="S270" s="233"/>
      <c r="T270" s="233"/>
      <c r="U270" s="233"/>
      <c r="V270" s="233"/>
      <c r="W270" s="233"/>
      <c r="X270" s="233"/>
      <c r="Y270" s="233"/>
      <c r="Z270" s="233"/>
      <c r="AA270" s="233"/>
      <c r="AB270" s="233"/>
      <c r="AC270" s="233"/>
      <c r="AD270" s="233"/>
      <c r="AE270" s="233"/>
      <c r="AF270" s="233"/>
      <c r="AG270" s="233"/>
      <c r="AH270" s="233"/>
      <c r="AI270" s="233"/>
      <c r="AJ270" s="233"/>
      <c r="AK270" s="233"/>
      <c r="AL270" s="233"/>
      <c r="AM270" s="233"/>
      <c r="AN270" s="233"/>
      <c r="AO270" s="233"/>
      <c r="AP270" s="233"/>
      <c r="AQ270" s="233"/>
      <c r="AR270" s="233"/>
      <c r="AS270" s="233"/>
      <c r="AT270" s="233"/>
      <c r="AU270" s="233"/>
      <c r="AV270" s="233"/>
      <c r="AW270" s="233"/>
      <c r="AX270" s="233"/>
      <c r="AY270" s="233"/>
      <c r="AZ270" s="233"/>
      <c r="BA270" s="233"/>
    </row>
    <row r="271" spans="1:53" ht="19.5" customHeight="1">
      <c r="A271" s="233"/>
      <c r="B271" s="233"/>
      <c r="H271" s="233"/>
      <c r="I271" s="233"/>
      <c r="J271" s="233"/>
      <c r="K271" s="233"/>
      <c r="L271" s="233"/>
      <c r="M271" s="233"/>
      <c r="N271" s="233"/>
      <c r="O271" s="233"/>
      <c r="P271" s="233"/>
      <c r="Q271" s="233"/>
      <c r="R271" s="233"/>
      <c r="S271" s="233"/>
      <c r="T271" s="233"/>
      <c r="U271" s="233"/>
      <c r="V271" s="233"/>
      <c r="W271" s="233"/>
      <c r="X271" s="233"/>
      <c r="Y271" s="233"/>
      <c r="Z271" s="233"/>
      <c r="AA271" s="233"/>
      <c r="AB271" s="233"/>
      <c r="AC271" s="233"/>
      <c r="AD271" s="233"/>
      <c r="AE271" s="233"/>
      <c r="AF271" s="233"/>
      <c r="AG271" s="233"/>
      <c r="AH271" s="233"/>
      <c r="AI271" s="233"/>
      <c r="AJ271" s="233"/>
      <c r="AK271" s="233"/>
      <c r="AL271" s="233"/>
      <c r="AM271" s="233"/>
      <c r="AN271" s="233"/>
      <c r="AO271" s="233"/>
      <c r="AP271" s="233"/>
      <c r="AQ271" s="233"/>
      <c r="AR271" s="233"/>
      <c r="AS271" s="233"/>
      <c r="AT271" s="233"/>
      <c r="AU271" s="233"/>
      <c r="AV271" s="233"/>
      <c r="AW271" s="233"/>
      <c r="AX271" s="233"/>
      <c r="AY271" s="233"/>
      <c r="AZ271" s="233"/>
      <c r="BA271" s="233"/>
    </row>
    <row r="272" spans="1:53" ht="19.5" customHeight="1">
      <c r="A272" s="233"/>
      <c r="B272" s="233"/>
      <c r="H272" s="233"/>
      <c r="I272" s="233"/>
      <c r="J272" s="233"/>
      <c r="K272" s="233"/>
      <c r="L272" s="233"/>
      <c r="M272" s="233"/>
      <c r="N272" s="233"/>
      <c r="O272" s="233"/>
      <c r="P272" s="233"/>
      <c r="Q272" s="233"/>
      <c r="R272" s="233"/>
      <c r="S272" s="233"/>
      <c r="T272" s="233"/>
      <c r="U272" s="233"/>
      <c r="V272" s="233"/>
      <c r="W272" s="233"/>
      <c r="X272" s="233"/>
      <c r="Y272" s="233"/>
      <c r="Z272" s="233"/>
      <c r="AA272" s="233"/>
      <c r="AB272" s="233"/>
      <c r="AC272" s="233"/>
      <c r="AD272" s="233"/>
      <c r="AE272" s="233"/>
      <c r="AF272" s="233"/>
      <c r="AG272" s="233"/>
      <c r="AH272" s="233"/>
      <c r="AI272" s="233"/>
      <c r="AJ272" s="233"/>
      <c r="AK272" s="233"/>
      <c r="AL272" s="233"/>
      <c r="AM272" s="233"/>
      <c r="AN272" s="233"/>
      <c r="AO272" s="233"/>
      <c r="AP272" s="233"/>
      <c r="AQ272" s="233"/>
      <c r="AR272" s="233"/>
      <c r="AS272" s="233"/>
      <c r="AT272" s="233"/>
      <c r="AU272" s="233"/>
      <c r="AV272" s="233"/>
      <c r="AW272" s="233"/>
      <c r="AX272" s="233"/>
      <c r="AY272" s="233"/>
      <c r="AZ272" s="233"/>
      <c r="BA272" s="233"/>
    </row>
    <row r="273" spans="1:53" ht="19.5" customHeight="1">
      <c r="A273" s="233"/>
      <c r="B273" s="233"/>
      <c r="H273" s="233"/>
      <c r="I273" s="233"/>
      <c r="J273" s="233"/>
      <c r="K273" s="233"/>
      <c r="L273" s="233"/>
      <c r="M273" s="233"/>
      <c r="N273" s="233"/>
      <c r="O273" s="233"/>
      <c r="P273" s="233"/>
      <c r="Q273" s="233"/>
      <c r="R273" s="233"/>
      <c r="S273" s="233"/>
      <c r="T273" s="233"/>
      <c r="U273" s="233"/>
      <c r="V273" s="233"/>
      <c r="W273" s="233"/>
      <c r="X273" s="233"/>
      <c r="Y273" s="233"/>
      <c r="Z273" s="233"/>
      <c r="AA273" s="233"/>
      <c r="AB273" s="233"/>
      <c r="AC273" s="233"/>
      <c r="AD273" s="233"/>
      <c r="AE273" s="233"/>
      <c r="AF273" s="233"/>
      <c r="AG273" s="233"/>
      <c r="AH273" s="233"/>
      <c r="AI273" s="233"/>
      <c r="AJ273" s="233"/>
      <c r="AK273" s="233"/>
      <c r="AL273" s="233"/>
      <c r="AM273" s="233"/>
      <c r="AN273" s="233"/>
      <c r="AO273" s="233"/>
      <c r="AP273" s="233"/>
      <c r="AQ273" s="233"/>
      <c r="AR273" s="233"/>
      <c r="AS273" s="233"/>
      <c r="AT273" s="233"/>
      <c r="AU273" s="233"/>
      <c r="AV273" s="233"/>
      <c r="AW273" s="233"/>
      <c r="AX273" s="233"/>
      <c r="AY273" s="233"/>
      <c r="AZ273" s="233"/>
      <c r="BA273" s="233"/>
    </row>
    <row r="274" spans="1:53" ht="19.5" customHeight="1">
      <c r="A274" s="233"/>
      <c r="B274" s="233"/>
      <c r="H274" s="233"/>
      <c r="I274" s="233"/>
      <c r="J274" s="233"/>
      <c r="K274" s="233"/>
      <c r="L274" s="233"/>
      <c r="M274" s="233"/>
      <c r="N274" s="233"/>
      <c r="O274" s="233"/>
      <c r="P274" s="233"/>
      <c r="Q274" s="233"/>
      <c r="R274" s="233"/>
      <c r="S274" s="233"/>
      <c r="T274" s="233"/>
      <c r="U274" s="233"/>
      <c r="V274" s="233"/>
      <c r="W274" s="233"/>
      <c r="X274" s="233"/>
      <c r="Y274" s="233"/>
      <c r="Z274" s="233"/>
      <c r="AA274" s="233"/>
      <c r="AB274" s="233"/>
      <c r="AC274" s="233"/>
      <c r="AD274" s="233"/>
      <c r="AE274" s="233"/>
      <c r="AF274" s="233"/>
      <c r="AG274" s="233"/>
      <c r="AH274" s="233"/>
      <c r="AI274" s="233"/>
      <c r="AJ274" s="233"/>
      <c r="AK274" s="233"/>
      <c r="AL274" s="233"/>
      <c r="AM274" s="233"/>
      <c r="AN274" s="233"/>
      <c r="AO274" s="233"/>
      <c r="AP274" s="233"/>
      <c r="AQ274" s="233"/>
      <c r="AR274" s="233"/>
      <c r="AS274" s="233"/>
      <c r="AT274" s="233"/>
      <c r="AU274" s="233"/>
      <c r="AV274" s="233"/>
      <c r="AW274" s="233"/>
      <c r="AX274" s="233"/>
      <c r="AY274" s="233"/>
      <c r="AZ274" s="233"/>
      <c r="BA274" s="233"/>
    </row>
    <row r="275" spans="1:53" ht="19.5" customHeight="1">
      <c r="A275" s="233"/>
      <c r="B275" s="233"/>
      <c r="H275" s="233"/>
      <c r="I275" s="233"/>
      <c r="J275" s="233"/>
      <c r="K275" s="233"/>
      <c r="L275" s="233"/>
      <c r="M275" s="233"/>
      <c r="N275" s="233"/>
      <c r="O275" s="233"/>
      <c r="P275" s="233"/>
      <c r="Q275" s="233"/>
      <c r="R275" s="233"/>
      <c r="S275" s="233"/>
      <c r="T275" s="233"/>
      <c r="U275" s="233"/>
      <c r="V275" s="233"/>
      <c r="W275" s="233"/>
      <c r="X275" s="233"/>
      <c r="Y275" s="233"/>
      <c r="Z275" s="233"/>
      <c r="AA275" s="233"/>
      <c r="AB275" s="233"/>
      <c r="AC275" s="233"/>
      <c r="AD275" s="233"/>
      <c r="AE275" s="233"/>
      <c r="AF275" s="233"/>
      <c r="AG275" s="233"/>
      <c r="AH275" s="233"/>
      <c r="AI275" s="233"/>
      <c r="AJ275" s="233"/>
      <c r="AK275" s="233"/>
      <c r="AL275" s="233"/>
      <c r="AM275" s="233"/>
      <c r="AN275" s="233"/>
      <c r="AO275" s="233"/>
      <c r="AP275" s="233"/>
      <c r="AQ275" s="233"/>
      <c r="AR275" s="233"/>
      <c r="AS275" s="233"/>
      <c r="AT275" s="233"/>
      <c r="AU275" s="233"/>
      <c r="AV275" s="233"/>
      <c r="AW275" s="233"/>
      <c r="AX275" s="233"/>
      <c r="AY275" s="233"/>
      <c r="AZ275" s="233"/>
      <c r="BA275" s="233"/>
    </row>
    <row r="276" spans="1:53" ht="19.5" customHeight="1">
      <c r="A276" s="233"/>
      <c r="B276" s="233"/>
      <c r="H276" s="233"/>
      <c r="I276" s="233"/>
      <c r="J276" s="233"/>
      <c r="K276" s="233"/>
      <c r="L276" s="233"/>
      <c r="M276" s="233"/>
      <c r="N276" s="233"/>
      <c r="O276" s="233"/>
      <c r="P276" s="233"/>
      <c r="Q276" s="233"/>
      <c r="R276" s="233"/>
      <c r="S276" s="233"/>
      <c r="T276" s="233"/>
      <c r="U276" s="233"/>
      <c r="V276" s="233"/>
      <c r="W276" s="233"/>
      <c r="X276" s="233"/>
      <c r="Y276" s="233"/>
      <c r="Z276" s="233"/>
      <c r="AA276" s="233"/>
      <c r="AB276" s="233"/>
      <c r="AC276" s="233"/>
      <c r="AD276" s="233"/>
      <c r="AE276" s="233"/>
      <c r="AF276" s="233"/>
      <c r="AG276" s="233"/>
      <c r="AH276" s="233"/>
      <c r="AI276" s="233"/>
      <c r="AJ276" s="233"/>
      <c r="AK276" s="233"/>
      <c r="AL276" s="233"/>
      <c r="AM276" s="233"/>
      <c r="AN276" s="233"/>
      <c r="AO276" s="233"/>
      <c r="AP276" s="233"/>
      <c r="AQ276" s="233"/>
      <c r="AR276" s="233"/>
      <c r="AS276" s="233"/>
      <c r="AT276" s="233"/>
      <c r="AU276" s="233"/>
      <c r="AV276" s="233"/>
      <c r="AW276" s="233"/>
      <c r="AX276" s="233"/>
      <c r="AY276" s="233"/>
      <c r="AZ276" s="233"/>
      <c r="BA276" s="233"/>
    </row>
    <row r="277" spans="1:53" ht="19.5" customHeight="1">
      <c r="A277" s="233"/>
      <c r="B277" s="233"/>
      <c r="H277" s="233"/>
      <c r="I277" s="233"/>
      <c r="J277" s="233"/>
      <c r="K277" s="233"/>
      <c r="L277" s="233"/>
      <c r="M277" s="233"/>
      <c r="N277" s="233"/>
      <c r="O277" s="233"/>
      <c r="P277" s="233"/>
      <c r="Q277" s="233"/>
      <c r="R277" s="233"/>
      <c r="S277" s="233"/>
      <c r="T277" s="233"/>
      <c r="U277" s="233"/>
      <c r="V277" s="233"/>
      <c r="W277" s="233"/>
      <c r="X277" s="233"/>
      <c r="Y277" s="233"/>
      <c r="Z277" s="233"/>
      <c r="AA277" s="233"/>
      <c r="AB277" s="233"/>
      <c r="AC277" s="233"/>
      <c r="AD277" s="233"/>
      <c r="AE277" s="233"/>
      <c r="AF277" s="233"/>
      <c r="AG277" s="233"/>
      <c r="AH277" s="233"/>
      <c r="AI277" s="233"/>
      <c r="AJ277" s="233"/>
      <c r="AK277" s="233"/>
      <c r="AL277" s="233"/>
      <c r="AM277" s="233"/>
      <c r="AN277" s="233"/>
      <c r="AO277" s="233"/>
      <c r="AP277" s="233"/>
      <c r="AQ277" s="233"/>
      <c r="AR277" s="233"/>
      <c r="AS277" s="233"/>
      <c r="AT277" s="233"/>
      <c r="AU277" s="233"/>
      <c r="AV277" s="233"/>
      <c r="AW277" s="233"/>
      <c r="AX277" s="233"/>
      <c r="AY277" s="233"/>
      <c r="AZ277" s="233"/>
      <c r="BA277" s="233"/>
    </row>
    <row r="278" spans="1:53" ht="19.5" customHeight="1">
      <c r="A278" s="233"/>
      <c r="B278" s="233"/>
      <c r="H278" s="233"/>
      <c r="I278" s="233"/>
      <c r="J278" s="233"/>
      <c r="K278" s="233"/>
      <c r="L278" s="233"/>
      <c r="M278" s="233"/>
      <c r="N278" s="233"/>
      <c r="O278" s="233"/>
      <c r="P278" s="233"/>
      <c r="Q278" s="233"/>
      <c r="R278" s="233"/>
      <c r="S278" s="233"/>
      <c r="T278" s="233"/>
      <c r="U278" s="233"/>
      <c r="V278" s="233"/>
      <c r="W278" s="233"/>
      <c r="X278" s="233"/>
      <c r="Y278" s="233"/>
      <c r="Z278" s="233"/>
      <c r="AA278" s="233"/>
      <c r="AB278" s="233"/>
      <c r="AC278" s="233"/>
      <c r="AD278" s="233"/>
      <c r="AE278" s="233"/>
      <c r="AF278" s="233"/>
      <c r="AG278" s="233"/>
      <c r="AH278" s="233"/>
      <c r="AI278" s="233"/>
      <c r="AJ278" s="233"/>
      <c r="AK278" s="233"/>
      <c r="AL278" s="233"/>
      <c r="AM278" s="233"/>
      <c r="AN278" s="233"/>
      <c r="AO278" s="233"/>
      <c r="AP278" s="233"/>
      <c r="AQ278" s="233"/>
      <c r="AR278" s="233"/>
      <c r="AS278" s="233"/>
      <c r="AT278" s="233"/>
      <c r="AU278" s="233"/>
      <c r="AV278" s="233"/>
      <c r="AW278" s="233"/>
      <c r="AX278" s="233"/>
      <c r="AY278" s="233"/>
      <c r="AZ278" s="233"/>
      <c r="BA278" s="233"/>
    </row>
    <row r="279" spans="1:53" ht="19.5" customHeight="1">
      <c r="A279" s="233"/>
      <c r="B279" s="233"/>
      <c r="H279" s="233"/>
      <c r="I279" s="233"/>
      <c r="J279" s="233"/>
      <c r="K279" s="233"/>
      <c r="L279" s="233"/>
      <c r="M279" s="233"/>
      <c r="N279" s="233"/>
      <c r="O279" s="233"/>
      <c r="P279" s="233"/>
      <c r="Q279" s="233"/>
      <c r="R279" s="233"/>
      <c r="S279" s="233"/>
      <c r="T279" s="233"/>
      <c r="U279" s="233"/>
      <c r="V279" s="233"/>
      <c r="W279" s="233"/>
      <c r="X279" s="233"/>
      <c r="Y279" s="233"/>
      <c r="Z279" s="233"/>
      <c r="AA279" s="233"/>
      <c r="AB279" s="233"/>
      <c r="AC279" s="233"/>
      <c r="AD279" s="233"/>
      <c r="AE279" s="233"/>
      <c r="AF279" s="233"/>
      <c r="AG279" s="233"/>
      <c r="AH279" s="233"/>
      <c r="AI279" s="233"/>
      <c r="AJ279" s="233"/>
      <c r="AK279" s="233"/>
      <c r="AL279" s="233"/>
      <c r="AM279" s="233"/>
      <c r="AN279" s="233"/>
      <c r="AO279" s="233"/>
      <c r="AP279" s="233"/>
      <c r="AQ279" s="233"/>
      <c r="AR279" s="233"/>
      <c r="AS279" s="233"/>
      <c r="AT279" s="233"/>
      <c r="AU279" s="233"/>
      <c r="AV279" s="233"/>
      <c r="AW279" s="233"/>
      <c r="AX279" s="233"/>
      <c r="AY279" s="233"/>
      <c r="AZ279" s="233"/>
      <c r="BA279" s="233"/>
    </row>
    <row r="280" spans="1:53" ht="19.5" customHeight="1">
      <c r="A280" s="233"/>
      <c r="B280" s="233"/>
      <c r="H280" s="233"/>
      <c r="I280" s="233"/>
      <c r="J280" s="233"/>
      <c r="K280" s="233"/>
      <c r="L280" s="233"/>
      <c r="M280" s="233"/>
      <c r="N280" s="233"/>
      <c r="O280" s="233"/>
      <c r="P280" s="233"/>
      <c r="Q280" s="233"/>
      <c r="R280" s="233"/>
      <c r="S280" s="233"/>
      <c r="T280" s="233"/>
      <c r="U280" s="233"/>
      <c r="V280" s="233"/>
      <c r="W280" s="233"/>
      <c r="X280" s="233"/>
      <c r="Y280" s="233"/>
      <c r="Z280" s="233"/>
      <c r="AA280" s="233"/>
      <c r="AB280" s="233"/>
      <c r="AC280" s="233"/>
      <c r="AD280" s="233"/>
      <c r="AE280" s="233"/>
      <c r="AF280" s="233"/>
      <c r="AG280" s="233"/>
      <c r="AH280" s="233"/>
      <c r="AI280" s="233"/>
      <c r="AJ280" s="233"/>
      <c r="AK280" s="233"/>
      <c r="AL280" s="233"/>
      <c r="AM280" s="233"/>
      <c r="AN280" s="233"/>
      <c r="AO280" s="233"/>
      <c r="AP280" s="233"/>
      <c r="AQ280" s="233"/>
      <c r="AR280" s="233"/>
      <c r="AS280" s="233"/>
      <c r="AT280" s="233"/>
      <c r="AU280" s="233"/>
      <c r="AV280" s="233"/>
      <c r="AW280" s="233"/>
      <c r="AX280" s="233"/>
      <c r="AY280" s="233"/>
      <c r="AZ280" s="233"/>
      <c r="BA280" s="233"/>
    </row>
    <row r="281" spans="1:53" ht="19.5" customHeight="1">
      <c r="A281" s="233"/>
      <c r="B281" s="233"/>
      <c r="H281" s="233"/>
      <c r="I281" s="233"/>
      <c r="J281" s="233"/>
      <c r="K281" s="233"/>
      <c r="L281" s="233"/>
      <c r="M281" s="233"/>
      <c r="N281" s="233"/>
      <c r="O281" s="233"/>
      <c r="P281" s="233"/>
      <c r="Q281" s="233"/>
      <c r="R281" s="233"/>
      <c r="S281" s="233"/>
      <c r="T281" s="233"/>
      <c r="U281" s="233"/>
      <c r="V281" s="233"/>
      <c r="W281" s="233"/>
      <c r="X281" s="233"/>
      <c r="Y281" s="233"/>
      <c r="Z281" s="233"/>
      <c r="AA281" s="233"/>
      <c r="AB281" s="233"/>
      <c r="AC281" s="233"/>
      <c r="AD281" s="233"/>
      <c r="AE281" s="233"/>
      <c r="AF281" s="233"/>
      <c r="AG281" s="233"/>
      <c r="AH281" s="233"/>
      <c r="AI281" s="233"/>
      <c r="AJ281" s="233"/>
      <c r="AK281" s="233"/>
      <c r="AL281" s="233"/>
      <c r="AM281" s="233"/>
      <c r="AN281" s="233"/>
      <c r="AO281" s="233"/>
      <c r="AP281" s="233"/>
      <c r="AQ281" s="233"/>
      <c r="AR281" s="233"/>
      <c r="AS281" s="233"/>
      <c r="AT281" s="233"/>
      <c r="AU281" s="233"/>
      <c r="AV281" s="233"/>
      <c r="AW281" s="233"/>
      <c r="AX281" s="233"/>
      <c r="AY281" s="233"/>
      <c r="AZ281" s="233"/>
      <c r="BA281" s="233"/>
    </row>
    <row r="282" spans="1:53" ht="19.5" customHeight="1">
      <c r="A282" s="233"/>
      <c r="B282" s="233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233"/>
      <c r="U282" s="233"/>
      <c r="V282" s="233"/>
      <c r="W282" s="233"/>
      <c r="X282" s="233"/>
      <c r="Y282" s="233"/>
      <c r="Z282" s="233"/>
      <c r="AA282" s="233"/>
      <c r="AB282" s="233"/>
      <c r="AC282" s="233"/>
      <c r="AD282" s="233"/>
      <c r="AE282" s="233"/>
      <c r="AF282" s="233"/>
      <c r="AG282" s="233"/>
      <c r="AH282" s="233"/>
      <c r="AI282" s="233"/>
      <c r="AJ282" s="233"/>
      <c r="AK282" s="233"/>
      <c r="AL282" s="233"/>
      <c r="AM282" s="233"/>
      <c r="AN282" s="233"/>
      <c r="AO282" s="233"/>
      <c r="AP282" s="233"/>
      <c r="AQ282" s="233"/>
      <c r="AR282" s="233"/>
      <c r="AS282" s="233"/>
      <c r="AT282" s="233"/>
      <c r="AU282" s="233"/>
      <c r="AV282" s="233"/>
      <c r="AW282" s="233"/>
      <c r="AX282" s="233"/>
      <c r="AY282" s="233"/>
      <c r="AZ282" s="233"/>
      <c r="BA282" s="233"/>
    </row>
    <row r="283" spans="1:53" ht="19.5" customHeight="1">
      <c r="A283" s="233"/>
      <c r="B283" s="233"/>
      <c r="H283" s="233"/>
      <c r="I283" s="233"/>
      <c r="J283" s="233"/>
      <c r="K283" s="233"/>
      <c r="L283" s="233"/>
      <c r="M283" s="233"/>
      <c r="N283" s="233"/>
      <c r="O283" s="233"/>
      <c r="P283" s="233"/>
      <c r="Q283" s="233"/>
      <c r="R283" s="233"/>
      <c r="S283" s="233"/>
      <c r="T283" s="233"/>
      <c r="U283" s="233"/>
      <c r="V283" s="233"/>
      <c r="W283" s="233"/>
      <c r="X283" s="233"/>
      <c r="Y283" s="233"/>
      <c r="Z283" s="233"/>
      <c r="AA283" s="233"/>
      <c r="AB283" s="233"/>
      <c r="AC283" s="233"/>
      <c r="AD283" s="233"/>
      <c r="AE283" s="233"/>
      <c r="AF283" s="233"/>
      <c r="AG283" s="233"/>
      <c r="AH283" s="233"/>
      <c r="AI283" s="233"/>
      <c r="AJ283" s="233"/>
      <c r="AK283" s="233"/>
      <c r="AL283" s="233"/>
      <c r="AM283" s="233"/>
      <c r="AN283" s="233"/>
      <c r="AO283" s="233"/>
      <c r="AP283" s="233"/>
      <c r="AQ283" s="233"/>
      <c r="AR283" s="233"/>
      <c r="AS283" s="233"/>
      <c r="AT283" s="233"/>
      <c r="AU283" s="233"/>
      <c r="AV283" s="233"/>
      <c r="AW283" s="233"/>
      <c r="AX283" s="233"/>
      <c r="AY283" s="233"/>
      <c r="AZ283" s="233"/>
      <c r="BA283" s="233"/>
    </row>
    <row r="284" spans="1:53" ht="19.5" customHeight="1">
      <c r="A284" s="233"/>
      <c r="B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3"/>
      <c r="Z284" s="233"/>
      <c r="AA284" s="233"/>
      <c r="AB284" s="233"/>
      <c r="AC284" s="233"/>
      <c r="AD284" s="233"/>
      <c r="AE284" s="233"/>
      <c r="AF284" s="233"/>
      <c r="AG284" s="233"/>
      <c r="AH284" s="233"/>
      <c r="AI284" s="233"/>
      <c r="AJ284" s="233"/>
      <c r="AK284" s="233"/>
      <c r="AL284" s="233"/>
      <c r="AM284" s="233"/>
      <c r="AN284" s="233"/>
      <c r="AO284" s="233"/>
      <c r="AP284" s="233"/>
      <c r="AQ284" s="233"/>
      <c r="AR284" s="233"/>
      <c r="AS284" s="233"/>
      <c r="AT284" s="233"/>
      <c r="AU284" s="233"/>
      <c r="AV284" s="233"/>
      <c r="AW284" s="233"/>
      <c r="AX284" s="233"/>
      <c r="AY284" s="233"/>
      <c r="AZ284" s="233"/>
      <c r="BA284" s="233"/>
    </row>
    <row r="285" spans="1:53" ht="19.5" customHeight="1">
      <c r="A285" s="233"/>
      <c r="B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3"/>
      <c r="Z285" s="233"/>
      <c r="AA285" s="233"/>
      <c r="AB285" s="233"/>
      <c r="AC285" s="233"/>
      <c r="AD285" s="233"/>
      <c r="AE285" s="233"/>
      <c r="AF285" s="233"/>
      <c r="AG285" s="233"/>
      <c r="AH285" s="233"/>
      <c r="AI285" s="233"/>
      <c r="AJ285" s="233"/>
      <c r="AK285" s="233"/>
      <c r="AL285" s="233"/>
      <c r="AM285" s="233"/>
      <c r="AN285" s="233"/>
      <c r="AO285" s="233"/>
      <c r="AP285" s="233"/>
      <c r="AQ285" s="233"/>
      <c r="AR285" s="233"/>
      <c r="AS285" s="233"/>
      <c r="AT285" s="233"/>
      <c r="AU285" s="233"/>
      <c r="AV285" s="233"/>
      <c r="AW285" s="233"/>
      <c r="AX285" s="233"/>
      <c r="AY285" s="233"/>
      <c r="AZ285" s="233"/>
      <c r="BA285" s="233"/>
    </row>
    <row r="286" spans="1:53" ht="19.5" customHeight="1">
      <c r="A286" s="233"/>
      <c r="B286" s="233"/>
      <c r="H286" s="233"/>
      <c r="I286" s="233"/>
      <c r="J286" s="233"/>
      <c r="K286" s="233"/>
      <c r="L286" s="233"/>
      <c r="M286" s="233"/>
      <c r="N286" s="233"/>
      <c r="O286" s="233"/>
      <c r="P286" s="233"/>
      <c r="Q286" s="233"/>
      <c r="R286" s="233"/>
      <c r="S286" s="233"/>
      <c r="T286" s="233"/>
      <c r="U286" s="233"/>
      <c r="V286" s="233"/>
      <c r="W286" s="233"/>
      <c r="X286" s="233"/>
      <c r="Y286" s="233"/>
      <c r="Z286" s="233"/>
      <c r="AA286" s="233"/>
      <c r="AB286" s="233"/>
      <c r="AC286" s="233"/>
      <c r="AD286" s="233"/>
      <c r="AE286" s="233"/>
      <c r="AF286" s="233"/>
      <c r="AG286" s="233"/>
      <c r="AH286" s="233"/>
      <c r="AI286" s="233"/>
      <c r="AJ286" s="233"/>
      <c r="AK286" s="233"/>
      <c r="AL286" s="233"/>
      <c r="AM286" s="233"/>
      <c r="AN286" s="233"/>
      <c r="AO286" s="233"/>
      <c r="AP286" s="233"/>
      <c r="AQ286" s="233"/>
      <c r="AR286" s="233"/>
      <c r="AS286" s="233"/>
      <c r="AT286" s="233"/>
      <c r="AU286" s="233"/>
      <c r="AV286" s="233"/>
      <c r="AW286" s="233"/>
      <c r="AX286" s="233"/>
      <c r="AY286" s="233"/>
      <c r="AZ286" s="233"/>
      <c r="BA286" s="233"/>
    </row>
    <row r="287" spans="1:53" ht="19.5" customHeight="1">
      <c r="A287" s="233"/>
      <c r="B287" s="233"/>
      <c r="H287" s="233"/>
      <c r="I287" s="233"/>
      <c r="J287" s="233"/>
      <c r="K287" s="233"/>
      <c r="L287" s="233"/>
      <c r="M287" s="233"/>
      <c r="N287" s="233"/>
      <c r="O287" s="233"/>
      <c r="P287" s="233"/>
      <c r="Q287" s="233"/>
      <c r="R287" s="233"/>
      <c r="S287" s="233"/>
      <c r="T287" s="233"/>
      <c r="U287" s="233"/>
      <c r="V287" s="233"/>
      <c r="W287" s="233"/>
      <c r="X287" s="233"/>
      <c r="Y287" s="233"/>
      <c r="Z287" s="233"/>
      <c r="AA287" s="233"/>
      <c r="AB287" s="233"/>
      <c r="AC287" s="233"/>
      <c r="AD287" s="233"/>
      <c r="AE287" s="233"/>
      <c r="AF287" s="233"/>
      <c r="AG287" s="233"/>
      <c r="AH287" s="233"/>
      <c r="AI287" s="233"/>
      <c r="AJ287" s="233"/>
      <c r="AK287" s="233"/>
      <c r="AL287" s="233"/>
      <c r="AM287" s="233"/>
      <c r="AN287" s="233"/>
      <c r="AO287" s="233"/>
      <c r="AP287" s="233"/>
      <c r="AQ287" s="233"/>
      <c r="AR287" s="233"/>
      <c r="AS287" s="233"/>
      <c r="AT287" s="233"/>
      <c r="AU287" s="233"/>
      <c r="AV287" s="233"/>
      <c r="AW287" s="233"/>
      <c r="AX287" s="233"/>
      <c r="AY287" s="233"/>
      <c r="AZ287" s="233"/>
      <c r="BA287" s="233"/>
    </row>
    <row r="288" spans="1:53" ht="19.5" customHeight="1">
      <c r="A288" s="233"/>
      <c r="B288" s="233"/>
      <c r="H288" s="233"/>
      <c r="I288" s="233"/>
      <c r="J288" s="233"/>
      <c r="K288" s="233"/>
      <c r="L288" s="233"/>
      <c r="M288" s="233"/>
      <c r="N288" s="233"/>
      <c r="O288" s="233"/>
      <c r="P288" s="233"/>
      <c r="Q288" s="233"/>
      <c r="R288" s="233"/>
      <c r="S288" s="233"/>
      <c r="T288" s="233"/>
      <c r="U288" s="233"/>
      <c r="V288" s="233"/>
      <c r="W288" s="233"/>
      <c r="X288" s="233"/>
      <c r="Y288" s="233"/>
      <c r="Z288" s="233"/>
      <c r="AA288" s="233"/>
      <c r="AB288" s="233"/>
      <c r="AC288" s="233"/>
      <c r="AD288" s="233"/>
      <c r="AE288" s="233"/>
      <c r="AF288" s="233"/>
      <c r="AG288" s="233"/>
      <c r="AH288" s="233"/>
      <c r="AI288" s="233"/>
      <c r="AJ288" s="233"/>
      <c r="AK288" s="233"/>
      <c r="AL288" s="233"/>
      <c r="AM288" s="233"/>
      <c r="AN288" s="233"/>
      <c r="AO288" s="233"/>
      <c r="AP288" s="233"/>
      <c r="AQ288" s="233"/>
      <c r="AR288" s="233"/>
      <c r="AS288" s="233"/>
      <c r="AT288" s="233"/>
      <c r="AU288" s="233"/>
      <c r="AV288" s="233"/>
      <c r="AW288" s="233"/>
      <c r="AX288" s="233"/>
      <c r="AY288" s="233"/>
      <c r="AZ288" s="233"/>
      <c r="BA288" s="233"/>
    </row>
    <row r="289" spans="1:53" ht="19.5" customHeight="1">
      <c r="A289" s="233"/>
      <c r="B289" s="233"/>
      <c r="H289" s="233"/>
      <c r="I289" s="233"/>
      <c r="J289" s="233"/>
      <c r="K289" s="233"/>
      <c r="L289" s="233"/>
      <c r="M289" s="233"/>
      <c r="N289" s="233"/>
      <c r="O289" s="233"/>
      <c r="P289" s="233"/>
      <c r="Q289" s="233"/>
      <c r="R289" s="233"/>
      <c r="S289" s="233"/>
      <c r="T289" s="233"/>
      <c r="U289" s="233"/>
      <c r="V289" s="233"/>
      <c r="W289" s="233"/>
      <c r="X289" s="233"/>
      <c r="Y289" s="233"/>
      <c r="Z289" s="233"/>
      <c r="AA289" s="233"/>
      <c r="AB289" s="233"/>
      <c r="AC289" s="233"/>
      <c r="AD289" s="233"/>
      <c r="AE289" s="233"/>
      <c r="AF289" s="233"/>
      <c r="AG289" s="233"/>
      <c r="AH289" s="233"/>
      <c r="AI289" s="233"/>
      <c r="AJ289" s="233"/>
      <c r="AK289" s="233"/>
      <c r="AL289" s="233"/>
      <c r="AM289" s="233"/>
      <c r="AN289" s="233"/>
      <c r="AO289" s="233"/>
      <c r="AP289" s="233"/>
      <c r="AQ289" s="233"/>
      <c r="AR289" s="233"/>
      <c r="AS289" s="233"/>
      <c r="AT289" s="233"/>
      <c r="AU289" s="233"/>
      <c r="AV289" s="233"/>
      <c r="AW289" s="233"/>
      <c r="AX289" s="233"/>
      <c r="AY289" s="233"/>
      <c r="AZ289" s="233"/>
      <c r="BA289" s="233"/>
    </row>
    <row r="290" spans="1:53" ht="19.5" customHeight="1">
      <c r="A290" s="233"/>
      <c r="B290" s="233"/>
      <c r="H290" s="233"/>
      <c r="I290" s="233"/>
      <c r="J290" s="233"/>
      <c r="K290" s="233"/>
      <c r="L290" s="233"/>
      <c r="M290" s="233"/>
      <c r="N290" s="233"/>
      <c r="O290" s="233"/>
      <c r="P290" s="233"/>
      <c r="Q290" s="233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3"/>
      <c r="AG290" s="233"/>
      <c r="AH290" s="233"/>
      <c r="AI290" s="233"/>
      <c r="AJ290" s="233"/>
      <c r="AK290" s="233"/>
      <c r="AL290" s="233"/>
      <c r="AM290" s="233"/>
      <c r="AN290" s="233"/>
      <c r="AO290" s="233"/>
      <c r="AP290" s="233"/>
      <c r="AQ290" s="233"/>
      <c r="AR290" s="233"/>
      <c r="AS290" s="233"/>
      <c r="AT290" s="233"/>
      <c r="AU290" s="233"/>
      <c r="AV290" s="233"/>
      <c r="AW290" s="233"/>
      <c r="AX290" s="233"/>
      <c r="AY290" s="233"/>
      <c r="AZ290" s="233"/>
      <c r="BA290" s="233"/>
    </row>
    <row r="291" spans="1:53" ht="19.5" customHeight="1">
      <c r="A291" s="233"/>
      <c r="B291" s="233"/>
      <c r="H291" s="233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3"/>
      <c r="AG291" s="233"/>
      <c r="AH291" s="233"/>
      <c r="AI291" s="233"/>
      <c r="AJ291" s="233"/>
      <c r="AK291" s="233"/>
      <c r="AL291" s="233"/>
      <c r="AM291" s="233"/>
      <c r="AN291" s="233"/>
      <c r="AO291" s="233"/>
      <c r="AP291" s="233"/>
      <c r="AQ291" s="233"/>
      <c r="AR291" s="233"/>
      <c r="AS291" s="233"/>
      <c r="AT291" s="233"/>
      <c r="AU291" s="233"/>
      <c r="AV291" s="233"/>
      <c r="AW291" s="233"/>
      <c r="AX291" s="233"/>
      <c r="AY291" s="233"/>
      <c r="AZ291" s="233"/>
      <c r="BA291" s="233"/>
    </row>
    <row r="292" spans="1:53" ht="19.5" customHeight="1">
      <c r="A292" s="233"/>
      <c r="B292" s="233"/>
      <c r="H292" s="233"/>
      <c r="I292" s="233"/>
      <c r="J292" s="233"/>
      <c r="K292" s="233"/>
      <c r="L292" s="233"/>
      <c r="M292" s="233"/>
      <c r="N292" s="233"/>
      <c r="O292" s="233"/>
      <c r="P292" s="233"/>
      <c r="Q292" s="233"/>
      <c r="R292" s="233"/>
      <c r="S292" s="233"/>
      <c r="T292" s="233"/>
      <c r="U292" s="233"/>
      <c r="V292" s="233"/>
      <c r="W292" s="233"/>
      <c r="X292" s="233"/>
      <c r="Y292" s="233"/>
      <c r="Z292" s="233"/>
      <c r="AA292" s="233"/>
      <c r="AB292" s="233"/>
      <c r="AC292" s="233"/>
      <c r="AD292" s="233"/>
      <c r="AE292" s="233"/>
      <c r="AF292" s="233"/>
      <c r="AG292" s="233"/>
      <c r="AH292" s="233"/>
      <c r="AI292" s="233"/>
      <c r="AJ292" s="233"/>
      <c r="AK292" s="233"/>
      <c r="AL292" s="233"/>
      <c r="AM292" s="233"/>
      <c r="AN292" s="233"/>
      <c r="AO292" s="233"/>
      <c r="AP292" s="233"/>
      <c r="AQ292" s="233"/>
      <c r="AR292" s="233"/>
      <c r="AS292" s="233"/>
      <c r="AT292" s="233"/>
      <c r="AU292" s="233"/>
      <c r="AV292" s="233"/>
      <c r="AW292" s="233"/>
      <c r="AX292" s="233"/>
      <c r="AY292" s="233"/>
      <c r="AZ292" s="233"/>
      <c r="BA292" s="233"/>
    </row>
    <row r="293" spans="1:53" ht="19.5" customHeight="1">
      <c r="A293" s="233"/>
      <c r="B293" s="233"/>
      <c r="H293" s="233"/>
      <c r="I293" s="233"/>
      <c r="J293" s="233"/>
      <c r="K293" s="233"/>
      <c r="L293" s="233"/>
      <c r="M293" s="233"/>
      <c r="N293" s="233"/>
      <c r="O293" s="233"/>
      <c r="P293" s="233"/>
      <c r="Q293" s="233"/>
      <c r="R293" s="233"/>
      <c r="S293" s="233"/>
      <c r="T293" s="233"/>
      <c r="U293" s="233"/>
      <c r="V293" s="233"/>
      <c r="W293" s="233"/>
      <c r="X293" s="233"/>
      <c r="Y293" s="233"/>
      <c r="Z293" s="233"/>
      <c r="AA293" s="233"/>
      <c r="AB293" s="233"/>
      <c r="AC293" s="233"/>
      <c r="AD293" s="233"/>
      <c r="AE293" s="233"/>
      <c r="AF293" s="233"/>
      <c r="AG293" s="233"/>
      <c r="AH293" s="233"/>
      <c r="AI293" s="233"/>
      <c r="AJ293" s="233"/>
      <c r="AK293" s="233"/>
      <c r="AL293" s="233"/>
      <c r="AM293" s="233"/>
      <c r="AN293" s="233"/>
      <c r="AO293" s="233"/>
      <c r="AP293" s="233"/>
      <c r="AQ293" s="233"/>
      <c r="AR293" s="233"/>
      <c r="AS293" s="233"/>
      <c r="AT293" s="233"/>
      <c r="AU293" s="233"/>
      <c r="AV293" s="233"/>
      <c r="AW293" s="233"/>
      <c r="AX293" s="233"/>
      <c r="AY293" s="233"/>
      <c r="AZ293" s="233"/>
      <c r="BA293" s="233"/>
    </row>
    <row r="294" spans="1:53" ht="19.5" customHeight="1">
      <c r="A294" s="233"/>
      <c r="B294" s="233"/>
      <c r="H294" s="233"/>
      <c r="I294" s="233"/>
      <c r="J294" s="233"/>
      <c r="K294" s="233"/>
      <c r="L294" s="233"/>
      <c r="M294" s="233"/>
      <c r="N294" s="233"/>
      <c r="O294" s="233"/>
      <c r="P294" s="233"/>
      <c r="Q294" s="233"/>
      <c r="R294" s="233"/>
      <c r="S294" s="233"/>
      <c r="T294" s="233"/>
      <c r="U294" s="233"/>
      <c r="V294" s="233"/>
      <c r="W294" s="233"/>
      <c r="X294" s="233"/>
      <c r="Y294" s="233"/>
      <c r="Z294" s="233"/>
      <c r="AA294" s="233"/>
      <c r="AB294" s="233"/>
      <c r="AC294" s="233"/>
      <c r="AD294" s="233"/>
      <c r="AE294" s="233"/>
      <c r="AF294" s="233"/>
      <c r="AG294" s="233"/>
      <c r="AH294" s="233"/>
      <c r="AI294" s="233"/>
      <c r="AJ294" s="233"/>
      <c r="AK294" s="233"/>
      <c r="AL294" s="233"/>
      <c r="AM294" s="233"/>
      <c r="AN294" s="233"/>
      <c r="AO294" s="233"/>
      <c r="AP294" s="233"/>
      <c r="AQ294" s="233"/>
      <c r="AR294" s="233"/>
      <c r="AS294" s="233"/>
      <c r="AT294" s="233"/>
      <c r="AU294" s="233"/>
      <c r="AV294" s="233"/>
      <c r="AW294" s="233"/>
      <c r="AX294" s="233"/>
      <c r="AY294" s="233"/>
      <c r="AZ294" s="233"/>
      <c r="BA294" s="233"/>
    </row>
    <row r="295" spans="1:53" ht="19.5" customHeight="1">
      <c r="A295" s="233"/>
      <c r="B295" s="233"/>
      <c r="H295" s="233"/>
      <c r="I295" s="233"/>
      <c r="J295" s="233"/>
      <c r="K295" s="233"/>
      <c r="L295" s="233"/>
      <c r="M295" s="233"/>
      <c r="N295" s="233"/>
      <c r="O295" s="233"/>
      <c r="P295" s="233"/>
      <c r="Q295" s="233"/>
      <c r="R295" s="233"/>
      <c r="S295" s="233"/>
      <c r="T295" s="233"/>
      <c r="U295" s="233"/>
      <c r="V295" s="233"/>
      <c r="W295" s="233"/>
      <c r="X295" s="233"/>
      <c r="Y295" s="233"/>
      <c r="Z295" s="233"/>
      <c r="AA295" s="233"/>
      <c r="AB295" s="233"/>
      <c r="AC295" s="233"/>
      <c r="AD295" s="233"/>
      <c r="AE295" s="233"/>
      <c r="AF295" s="233"/>
      <c r="AG295" s="233"/>
      <c r="AH295" s="233"/>
      <c r="AI295" s="233"/>
      <c r="AJ295" s="233"/>
      <c r="AK295" s="233"/>
      <c r="AL295" s="233"/>
      <c r="AM295" s="233"/>
      <c r="AN295" s="233"/>
      <c r="AO295" s="233"/>
      <c r="AP295" s="233"/>
      <c r="AQ295" s="233"/>
      <c r="AR295" s="233"/>
      <c r="AS295" s="233"/>
      <c r="AT295" s="233"/>
      <c r="AU295" s="233"/>
      <c r="AV295" s="233"/>
      <c r="AW295" s="233"/>
      <c r="AX295" s="233"/>
      <c r="AY295" s="233"/>
      <c r="AZ295" s="233"/>
      <c r="BA295" s="233"/>
    </row>
    <row r="296" spans="1:53" ht="19.5" customHeight="1">
      <c r="A296" s="233"/>
      <c r="B296" s="233"/>
      <c r="H296" s="233"/>
      <c r="I296" s="233"/>
      <c r="J296" s="233"/>
      <c r="K296" s="233"/>
      <c r="L296" s="233"/>
      <c r="M296" s="233"/>
      <c r="N296" s="233"/>
      <c r="O296" s="233"/>
      <c r="P296" s="233"/>
      <c r="Q296" s="233"/>
      <c r="R296" s="233"/>
      <c r="S296" s="233"/>
      <c r="T296" s="233"/>
      <c r="U296" s="233"/>
      <c r="V296" s="233"/>
      <c r="W296" s="233"/>
      <c r="X296" s="233"/>
      <c r="Y296" s="233"/>
      <c r="Z296" s="233"/>
      <c r="AA296" s="233"/>
      <c r="AB296" s="233"/>
      <c r="AC296" s="233"/>
      <c r="AD296" s="233"/>
      <c r="AE296" s="233"/>
      <c r="AF296" s="233"/>
      <c r="AG296" s="233"/>
      <c r="AH296" s="233"/>
      <c r="AI296" s="233"/>
      <c r="AJ296" s="233"/>
      <c r="AK296" s="233"/>
      <c r="AL296" s="233"/>
      <c r="AM296" s="233"/>
      <c r="AN296" s="233"/>
      <c r="AO296" s="233"/>
      <c r="AP296" s="233"/>
      <c r="AQ296" s="233"/>
      <c r="AR296" s="233"/>
      <c r="AS296" s="233"/>
      <c r="AT296" s="233"/>
      <c r="AU296" s="233"/>
      <c r="AV296" s="233"/>
      <c r="AW296" s="233"/>
      <c r="AX296" s="233"/>
      <c r="AY296" s="233"/>
      <c r="AZ296" s="233"/>
      <c r="BA296" s="233"/>
    </row>
    <row r="297" spans="1:53" ht="19.5" customHeight="1">
      <c r="A297" s="233"/>
      <c r="B297" s="233"/>
      <c r="H297" s="233"/>
      <c r="I297" s="233"/>
      <c r="J297" s="233"/>
      <c r="K297" s="233"/>
      <c r="L297" s="233"/>
      <c r="M297" s="233"/>
      <c r="N297" s="233"/>
      <c r="O297" s="233"/>
      <c r="P297" s="233"/>
      <c r="Q297" s="233"/>
      <c r="R297" s="233"/>
      <c r="S297" s="233"/>
      <c r="T297" s="233"/>
      <c r="U297" s="233"/>
      <c r="V297" s="233"/>
      <c r="W297" s="233"/>
      <c r="X297" s="233"/>
      <c r="Y297" s="233"/>
      <c r="Z297" s="233"/>
      <c r="AA297" s="233"/>
      <c r="AB297" s="233"/>
      <c r="AC297" s="233"/>
      <c r="AD297" s="233"/>
      <c r="AE297" s="233"/>
      <c r="AF297" s="233"/>
      <c r="AG297" s="233"/>
      <c r="AH297" s="233"/>
      <c r="AI297" s="233"/>
      <c r="AJ297" s="233"/>
      <c r="AK297" s="233"/>
      <c r="AL297" s="233"/>
      <c r="AM297" s="233"/>
      <c r="AN297" s="233"/>
      <c r="AO297" s="233"/>
      <c r="AP297" s="233"/>
      <c r="AQ297" s="233"/>
      <c r="AR297" s="233"/>
      <c r="AS297" s="233"/>
      <c r="AT297" s="233"/>
      <c r="AU297" s="233"/>
      <c r="AV297" s="233"/>
      <c r="AW297" s="233"/>
      <c r="AX297" s="233"/>
      <c r="AY297" s="233"/>
      <c r="AZ297" s="233"/>
      <c r="BA297" s="233"/>
    </row>
  </sheetData>
  <sheetProtection/>
  <mergeCells count="35">
    <mergeCell ref="E33:F33"/>
    <mergeCell ref="E21:F21"/>
    <mergeCell ref="E28:F28"/>
    <mergeCell ref="E17:F17"/>
    <mergeCell ref="C18:F18"/>
    <mergeCell ref="E24:F24"/>
    <mergeCell ref="E31:F31"/>
    <mergeCell ref="E32:F32"/>
    <mergeCell ref="E25:F25"/>
    <mergeCell ref="E26:F26"/>
    <mergeCell ref="E27:F27"/>
    <mergeCell ref="E29:F29"/>
    <mergeCell ref="E30:F30"/>
    <mergeCell ref="E19:F19"/>
    <mergeCell ref="E20:F20"/>
    <mergeCell ref="E22:F22"/>
    <mergeCell ref="E23:F23"/>
    <mergeCell ref="E11:F11"/>
    <mergeCell ref="E12:F12"/>
    <mergeCell ref="E13:F13"/>
    <mergeCell ref="E15:F15"/>
    <mergeCell ref="E16:F16"/>
    <mergeCell ref="E14:F14"/>
    <mergeCell ref="E6:F6"/>
    <mergeCell ref="E7:F7"/>
    <mergeCell ref="E8:F8"/>
    <mergeCell ref="C5:F5"/>
    <mergeCell ref="E9:F9"/>
    <mergeCell ref="E10:F10"/>
    <mergeCell ref="A1:F1"/>
    <mergeCell ref="E3:F3"/>
    <mergeCell ref="A3:B3"/>
    <mergeCell ref="A4:B4"/>
    <mergeCell ref="C3:D3"/>
    <mergeCell ref="E4:F4"/>
  </mergeCells>
  <printOptions/>
  <pageMargins left="0.75" right="0.5" top="0.75" bottom="1" header="0.5" footer="0.5"/>
  <pageSetup fitToHeight="1" fitToWidth="1" orientation="landscape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162"/>
  <sheetViews>
    <sheetView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40" sqref="G40"/>
    </sheetView>
  </sheetViews>
  <sheetFormatPr defaultColWidth="9.140625" defaultRowHeight="12.75"/>
  <cols>
    <col min="1" max="1" width="34.28125" style="0" customWidth="1"/>
    <col min="2" max="2" width="0.9921875" style="0" customWidth="1"/>
    <col min="3" max="11" width="11.7109375" style="0" customWidth="1"/>
    <col min="13" max="13" width="10.7109375" style="0" customWidth="1"/>
  </cols>
  <sheetData>
    <row r="1" spans="3:11" ht="12.75">
      <c r="C1" s="438" t="s">
        <v>435</v>
      </c>
      <c r="D1" s="439"/>
      <c r="E1" s="439"/>
      <c r="F1" s="439"/>
      <c r="G1" s="439"/>
      <c r="H1" s="439"/>
      <c r="I1" s="439"/>
      <c r="J1" s="439"/>
      <c r="K1" s="439"/>
    </row>
    <row r="2" spans="1:11" ht="12.75">
      <c r="A2" s="8" t="s">
        <v>595</v>
      </c>
      <c r="G2" s="13">
        <v>2006</v>
      </c>
      <c r="H2" s="13">
        <v>2007</v>
      </c>
      <c r="I2" s="13">
        <v>2008</v>
      </c>
      <c r="J2" s="13">
        <v>2009</v>
      </c>
      <c r="K2" s="13">
        <v>2010</v>
      </c>
    </row>
    <row r="3" spans="1:13" ht="12.75">
      <c r="A3" t="s">
        <v>15</v>
      </c>
      <c r="G3" s="11">
        <v>0.04</v>
      </c>
      <c r="H3" s="11">
        <v>0.04</v>
      </c>
      <c r="I3" s="11">
        <v>0.04</v>
      </c>
      <c r="J3" s="11">
        <v>0.04</v>
      </c>
      <c r="K3" s="11">
        <v>0.04</v>
      </c>
      <c r="L3" s="21"/>
      <c r="M3" s="21"/>
    </row>
    <row r="4" spans="1:13" ht="12.75">
      <c r="A4" t="s">
        <v>17</v>
      </c>
      <c r="G4" s="11">
        <v>0.525</v>
      </c>
      <c r="H4" s="11">
        <v>0.515</v>
      </c>
      <c r="I4" s="11">
        <v>0.51</v>
      </c>
      <c r="J4" s="11">
        <v>0.505</v>
      </c>
      <c r="K4" s="11">
        <v>0.505</v>
      </c>
      <c r="L4" s="21"/>
      <c r="M4" s="21"/>
    </row>
    <row r="5" spans="1:13" ht="12.75">
      <c r="A5" t="s">
        <v>16</v>
      </c>
      <c r="G5" s="11">
        <v>0.083</v>
      </c>
      <c r="H5" s="11">
        <v>0.083</v>
      </c>
      <c r="I5" s="11">
        <v>0.083</v>
      </c>
      <c r="J5" s="11">
        <v>0.083</v>
      </c>
      <c r="K5" s="11">
        <v>0.083</v>
      </c>
      <c r="L5" s="21"/>
      <c r="M5" s="21"/>
    </row>
    <row r="6" spans="1:13" ht="12.75">
      <c r="A6" t="s">
        <v>18</v>
      </c>
      <c r="G6" s="11">
        <v>0.145</v>
      </c>
      <c r="H6" s="11">
        <v>0.145</v>
      </c>
      <c r="I6" s="11">
        <v>0.145</v>
      </c>
      <c r="J6" s="11">
        <v>0.145</v>
      </c>
      <c r="K6" s="11">
        <v>0.145</v>
      </c>
      <c r="L6" s="21"/>
      <c r="M6" s="21"/>
    </row>
    <row r="7" spans="1:13" ht="12.75">
      <c r="A7" t="s">
        <v>19</v>
      </c>
      <c r="F7" s="12"/>
      <c r="G7" s="11">
        <v>0.19</v>
      </c>
      <c r="H7" s="11">
        <v>0.185</v>
      </c>
      <c r="I7" s="11">
        <v>0.18</v>
      </c>
      <c r="J7" s="11">
        <v>0.172</v>
      </c>
      <c r="K7" s="11">
        <v>0.164</v>
      </c>
      <c r="L7" s="21"/>
      <c r="M7" s="21"/>
    </row>
    <row r="8" spans="1:13" ht="12.75">
      <c r="A8" t="s">
        <v>20</v>
      </c>
      <c r="F8" s="12"/>
      <c r="G8" s="11">
        <v>0.05</v>
      </c>
      <c r="H8" s="11">
        <v>0.05</v>
      </c>
      <c r="I8" s="11">
        <v>0.05</v>
      </c>
      <c r="J8" s="11">
        <v>0.05</v>
      </c>
      <c r="K8" s="11">
        <v>0.05</v>
      </c>
      <c r="L8" s="21"/>
      <c r="M8" s="21"/>
    </row>
    <row r="9" spans="1:13" ht="12.75">
      <c r="A9" t="s">
        <v>129</v>
      </c>
      <c r="F9" s="12"/>
      <c r="G9" s="11">
        <v>0.0833</v>
      </c>
      <c r="H9" s="11">
        <f>G9</f>
        <v>0.0833</v>
      </c>
      <c r="I9" s="11">
        <f>H9</f>
        <v>0.0833</v>
      </c>
      <c r="J9" s="11">
        <f>I9</f>
        <v>0.0833</v>
      </c>
      <c r="K9" s="11">
        <f>J9</f>
        <v>0.0833</v>
      </c>
      <c r="L9" s="21"/>
      <c r="M9" s="21"/>
    </row>
    <row r="10" spans="1:13" ht="12.75">
      <c r="A10" t="s">
        <v>22</v>
      </c>
      <c r="F10" s="12"/>
      <c r="G10" s="11">
        <v>0.18</v>
      </c>
      <c r="H10" s="11">
        <v>0.22</v>
      </c>
      <c r="I10" s="11">
        <v>0.25</v>
      </c>
      <c r="J10" s="11">
        <v>0.3</v>
      </c>
      <c r="K10" s="11">
        <v>0.37</v>
      </c>
      <c r="L10" s="21"/>
      <c r="M10" s="21"/>
    </row>
    <row r="11" spans="1:13" ht="12.75">
      <c r="A11" t="s">
        <v>121</v>
      </c>
      <c r="F11" s="12"/>
      <c r="G11" s="11">
        <v>0.35</v>
      </c>
      <c r="H11" s="11">
        <v>0.35</v>
      </c>
      <c r="I11" s="11">
        <v>0.35</v>
      </c>
      <c r="J11" s="11">
        <v>0.35</v>
      </c>
      <c r="K11" s="11">
        <v>0.35</v>
      </c>
      <c r="L11" s="21"/>
      <c r="M11" s="21"/>
    </row>
    <row r="12" spans="1:13" ht="12.75">
      <c r="A12" t="s">
        <v>23</v>
      </c>
      <c r="F12" s="12"/>
      <c r="G12" s="11">
        <v>0.35</v>
      </c>
      <c r="H12" s="11">
        <v>0.3</v>
      </c>
      <c r="I12" s="11">
        <v>0.25</v>
      </c>
      <c r="J12" s="11">
        <v>0.2</v>
      </c>
      <c r="K12" s="11">
        <v>0.2</v>
      </c>
      <c r="L12" s="21"/>
      <c r="M12" s="21"/>
    </row>
    <row r="13" spans="1:13" ht="12.75">
      <c r="A13" t="s">
        <v>24</v>
      </c>
      <c r="F13" s="12"/>
      <c r="G13" s="11">
        <v>0.25</v>
      </c>
      <c r="H13" s="11">
        <v>0.25</v>
      </c>
      <c r="I13" s="11">
        <v>0.25</v>
      </c>
      <c r="J13" s="11">
        <v>0.25</v>
      </c>
      <c r="K13" s="11">
        <v>0.25</v>
      </c>
      <c r="L13" s="21"/>
      <c r="M13" s="21"/>
    </row>
    <row r="14" spans="1:13" ht="12.75">
      <c r="A14" t="s">
        <v>25</v>
      </c>
      <c r="F14" s="12"/>
      <c r="G14" s="11">
        <v>0.045</v>
      </c>
      <c r="H14" s="11">
        <v>0.045</v>
      </c>
      <c r="I14" s="11">
        <v>0.045</v>
      </c>
      <c r="J14" s="11">
        <v>0.045</v>
      </c>
      <c r="K14" s="11">
        <v>0.045</v>
      </c>
      <c r="L14" s="21"/>
      <c r="M14" s="21"/>
    </row>
    <row r="15" spans="1:11" ht="12.75">
      <c r="A15" t="s">
        <v>26</v>
      </c>
      <c r="F15" s="12"/>
      <c r="G15" s="11">
        <v>0.3</v>
      </c>
      <c r="H15" s="11">
        <v>0.3</v>
      </c>
      <c r="I15" s="11">
        <v>0.28</v>
      </c>
      <c r="J15" s="11">
        <v>0.26</v>
      </c>
      <c r="K15" s="11">
        <v>0.25</v>
      </c>
    </row>
    <row r="16" spans="1:11" ht="12.75">
      <c r="A16" t="s">
        <v>27</v>
      </c>
      <c r="F16" s="12"/>
      <c r="G16" s="22">
        <f>F67</f>
        <v>426</v>
      </c>
      <c r="H16" s="22">
        <f>G16</f>
        <v>426</v>
      </c>
      <c r="I16" s="22">
        <f>H16</f>
        <v>426</v>
      </c>
      <c r="J16" s="22">
        <f>I16</f>
        <v>426</v>
      </c>
      <c r="K16" s="22">
        <f>J16</f>
        <v>426</v>
      </c>
    </row>
    <row r="17" spans="1:7" ht="12.75">
      <c r="A17" t="s">
        <v>606</v>
      </c>
      <c r="C17" s="12">
        <f>BP_App_B4!D23</f>
        <v>0.11806699999999999</v>
      </c>
      <c r="D17" t="s">
        <v>72</v>
      </c>
      <c r="G17" s="11"/>
    </row>
    <row r="18" spans="1:4" ht="12.75">
      <c r="A18" t="s">
        <v>453</v>
      </c>
      <c r="C18" s="12">
        <f>BP_App_B4!D21</f>
        <v>0.10306699999999999</v>
      </c>
      <c r="D18" t="s">
        <v>72</v>
      </c>
    </row>
    <row r="19" spans="1:3" ht="12.75">
      <c r="A19" t="s">
        <v>96</v>
      </c>
      <c r="C19" s="12">
        <v>0.04</v>
      </c>
    </row>
    <row r="20" spans="1:4" ht="12.75">
      <c r="A20" t="s">
        <v>28</v>
      </c>
      <c r="C20" s="37">
        <f>BP_App_B4!C33/1000</f>
        <v>1170.7623112784509</v>
      </c>
      <c r="D20" t="s">
        <v>201</v>
      </c>
    </row>
    <row r="21" spans="7:11" ht="12.75">
      <c r="G21" s="42"/>
      <c r="H21" s="42"/>
      <c r="I21" s="42"/>
      <c r="J21" s="42"/>
      <c r="K21" s="42"/>
    </row>
    <row r="23" spans="3:11" ht="12.75">
      <c r="C23" s="437" t="s">
        <v>31</v>
      </c>
      <c r="D23" s="437"/>
      <c r="E23" s="437"/>
      <c r="F23" s="437"/>
      <c r="G23" s="436" t="s">
        <v>30</v>
      </c>
      <c r="H23" s="436"/>
      <c r="I23" s="436"/>
      <c r="J23" s="436"/>
      <c r="K23" s="436"/>
    </row>
    <row r="24" spans="3:11" ht="12.75">
      <c r="C24">
        <v>2002</v>
      </c>
      <c r="D24" s="3">
        <v>2003</v>
      </c>
      <c r="E24" s="3">
        <v>2004</v>
      </c>
      <c r="F24" s="3">
        <v>2005</v>
      </c>
      <c r="G24" s="3">
        <v>2006</v>
      </c>
      <c r="H24" s="3">
        <v>2007</v>
      </c>
      <c r="I24" s="3">
        <v>2008</v>
      </c>
      <c r="J24" s="3">
        <v>2009</v>
      </c>
      <c r="K24" s="3">
        <v>2010</v>
      </c>
    </row>
    <row r="25" spans="1:2" ht="12.75">
      <c r="A25" s="1" t="s">
        <v>29</v>
      </c>
      <c r="B25" t="s">
        <v>72</v>
      </c>
    </row>
    <row r="26" spans="1:155" ht="12.75">
      <c r="A26" t="s">
        <v>32</v>
      </c>
      <c r="C26" s="5">
        <v>4778.7</v>
      </c>
      <c r="D26" s="5">
        <v>4698.3</v>
      </c>
      <c r="E26" s="5">
        <v>4595.5</v>
      </c>
      <c r="F26" s="5">
        <v>4669.9</v>
      </c>
      <c r="G26" s="5">
        <f>F26*(1+G3)</f>
        <v>4856.696</v>
      </c>
      <c r="H26" s="5">
        <f>G26*(1+H3)</f>
        <v>5050.96384</v>
      </c>
      <c r="I26" s="5">
        <f>H26*(1+I3)</f>
        <v>5253.002393600001</v>
      </c>
      <c r="J26" s="5">
        <f>I26*(1+J3)</f>
        <v>5463.122489344001</v>
      </c>
      <c r="K26" s="5">
        <f>J26*(1+K3)</f>
        <v>5681.647388917761</v>
      </c>
      <c r="L26" s="7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</row>
    <row r="27" spans="1:155" ht="12.75">
      <c r="A27" t="s">
        <v>33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</row>
    <row r="28" spans="1:155" ht="12.75">
      <c r="A28" t="s">
        <v>105</v>
      </c>
      <c r="C28" s="5">
        <f aca="true" t="shared" si="0" ref="C28:K28">C30-C29</f>
        <v>2314.6</v>
      </c>
      <c r="D28" s="5">
        <f t="shared" si="0"/>
        <v>2285.5</v>
      </c>
      <c r="E28" s="5">
        <f t="shared" si="0"/>
        <v>2332.5</v>
      </c>
      <c r="F28" s="5">
        <f t="shared" si="0"/>
        <v>2415.15</v>
      </c>
      <c r="G28" s="5">
        <f t="shared" si="0"/>
        <v>2448.9889580000004</v>
      </c>
      <c r="H28" s="5">
        <f t="shared" si="0"/>
        <v>2496.4388779200003</v>
      </c>
      <c r="I28" s="5">
        <f t="shared" si="0"/>
        <v>2570.0314210688002</v>
      </c>
      <c r="J28" s="5">
        <f t="shared" si="0"/>
        <v>2645.5170654648327</v>
      </c>
      <c r="K28" s="5">
        <f t="shared" si="0"/>
        <v>2751.337748083426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</row>
    <row r="29" spans="1:155" ht="12.75">
      <c r="A29" t="s">
        <v>78</v>
      </c>
      <c r="C29" s="5">
        <v>100</v>
      </c>
      <c r="D29" s="5">
        <v>103</v>
      </c>
      <c r="E29" s="5">
        <v>81</v>
      </c>
      <c r="F29" s="5">
        <v>75</v>
      </c>
      <c r="G29" s="5">
        <f>G5*G51</f>
        <v>100.776442</v>
      </c>
      <c r="H29" s="5">
        <f>H5*H51</f>
        <v>104.80749968</v>
      </c>
      <c r="I29" s="5">
        <f>I5*I51</f>
        <v>108.99979966720002</v>
      </c>
      <c r="J29" s="5">
        <f>J5*J51</f>
        <v>113.35979165388804</v>
      </c>
      <c r="K29" s="5">
        <f>K5*K51</f>
        <v>117.89418332004355</v>
      </c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</row>
    <row r="30" spans="1:155" ht="12.75">
      <c r="A30" t="s">
        <v>34</v>
      </c>
      <c r="C30" s="5">
        <v>2414.6</v>
      </c>
      <c r="D30" s="5">
        <v>2388.5</v>
      </c>
      <c r="E30" s="5">
        <v>2413.5</v>
      </c>
      <c r="F30" s="5">
        <f>2569.15-79</f>
        <v>2490.15</v>
      </c>
      <c r="G30" s="5">
        <f>G26*G4</f>
        <v>2549.7654</v>
      </c>
      <c r="H30" s="5">
        <f>H26*H4</f>
        <v>2601.2463776000004</v>
      </c>
      <c r="I30" s="5">
        <f>I26*I4</f>
        <v>2679.0312207360003</v>
      </c>
      <c r="J30" s="5">
        <f>J26*J4</f>
        <v>2758.8768571187206</v>
      </c>
      <c r="K30" s="5">
        <f>K26*K4</f>
        <v>2869.2319314034694</v>
      </c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</row>
    <row r="31" spans="1:155" ht="12.75">
      <c r="A31" t="s">
        <v>35</v>
      </c>
      <c r="C31" s="5">
        <f aca="true" t="shared" si="1" ref="C31:K31">C26-C30</f>
        <v>2364.1</v>
      </c>
      <c r="D31" s="5">
        <f t="shared" si="1"/>
        <v>2309.8</v>
      </c>
      <c r="E31" s="5">
        <f t="shared" si="1"/>
        <v>2182</v>
      </c>
      <c r="F31" s="5">
        <f t="shared" si="1"/>
        <v>2179.7499999999995</v>
      </c>
      <c r="G31" s="5">
        <f t="shared" si="1"/>
        <v>2306.9305999999997</v>
      </c>
      <c r="H31" s="5">
        <f t="shared" si="1"/>
        <v>2449.7174624</v>
      </c>
      <c r="I31" s="5">
        <f t="shared" si="1"/>
        <v>2573.9711728640004</v>
      </c>
      <c r="J31" s="5">
        <f t="shared" si="1"/>
        <v>2704.2456322252806</v>
      </c>
      <c r="K31" s="5">
        <f t="shared" si="1"/>
        <v>2812.415457514292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</row>
    <row r="32" spans="1:155" ht="12.75">
      <c r="A32" t="s">
        <v>33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</row>
    <row r="33" spans="1:155" ht="12.75">
      <c r="A33" t="s">
        <v>36</v>
      </c>
      <c r="C33" s="5">
        <v>760.7</v>
      </c>
      <c r="D33" s="5">
        <v>786.4</v>
      </c>
      <c r="E33" s="5">
        <v>684.5</v>
      </c>
      <c r="F33" s="5">
        <v>681</v>
      </c>
      <c r="G33" s="5">
        <f>G26*G6</f>
        <v>704.22092</v>
      </c>
      <c r="H33" s="5">
        <f>H26*H6</f>
        <v>732.3897568</v>
      </c>
      <c r="I33" s="5">
        <f>I26*I6</f>
        <v>761.685347072</v>
      </c>
      <c r="J33" s="5">
        <f>J26*J6</f>
        <v>792.1527609548801</v>
      </c>
      <c r="K33" s="5">
        <f>K26*K6</f>
        <v>823.8388713930754</v>
      </c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</row>
    <row r="34" spans="1:155" ht="12.75">
      <c r="A34" t="s">
        <v>37</v>
      </c>
      <c r="C34" s="5">
        <v>779.8</v>
      </c>
      <c r="D34" s="5">
        <v>862.5</v>
      </c>
      <c r="E34" s="5">
        <v>867.9</v>
      </c>
      <c r="F34" s="5">
        <v>908</v>
      </c>
      <c r="G34" s="5">
        <f>G26*G7</f>
        <v>922.77224</v>
      </c>
      <c r="H34" s="5">
        <f>H26*H7</f>
        <v>934.4283104000001</v>
      </c>
      <c r="I34" s="5">
        <f>I26*I7</f>
        <v>945.5404308480001</v>
      </c>
      <c r="J34" s="5">
        <f>J26*J7</f>
        <v>939.6570681671682</v>
      </c>
      <c r="K34" s="5">
        <f>K26*K7</f>
        <v>931.7901717825129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</row>
    <row r="35" spans="1:155" ht="12.75">
      <c r="A35" t="s">
        <v>104</v>
      </c>
      <c r="C35" s="5">
        <v>32</v>
      </c>
      <c r="D35" s="5">
        <v>41</v>
      </c>
      <c r="E35" s="5">
        <v>52</v>
      </c>
      <c r="F35" s="5">
        <v>52</v>
      </c>
      <c r="G35" s="5">
        <f>F35</f>
        <v>52</v>
      </c>
      <c r="H35" s="5">
        <f>G35</f>
        <v>52</v>
      </c>
      <c r="I35" s="5">
        <f>H35</f>
        <v>52</v>
      </c>
      <c r="J35" s="5">
        <f>I35</f>
        <v>52</v>
      </c>
      <c r="K35" s="5">
        <f>J35</f>
        <v>52</v>
      </c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</row>
    <row r="36" spans="1:155" ht="12.75">
      <c r="A36" t="s">
        <v>66</v>
      </c>
      <c r="C36" s="5">
        <v>1.2</v>
      </c>
      <c r="D36" s="5">
        <v>5.3</v>
      </c>
      <c r="E36" s="5">
        <v>-5.3</v>
      </c>
      <c r="F36" s="5">
        <v>-19</v>
      </c>
      <c r="G36" s="5">
        <f>-15.906</f>
        <v>-15.906</v>
      </c>
      <c r="H36" s="5">
        <f>G36</f>
        <v>-15.906</v>
      </c>
      <c r="I36" s="5">
        <f>H36</f>
        <v>-15.906</v>
      </c>
      <c r="J36" s="5">
        <f>I36</f>
        <v>-15.906</v>
      </c>
      <c r="K36" s="5">
        <f>J36</f>
        <v>-15.906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</row>
    <row r="37" spans="1:155" ht="12.75">
      <c r="A37" t="s">
        <v>38</v>
      </c>
      <c r="C37" s="5">
        <f aca="true" t="shared" si="2" ref="C37:K37">SUM(C33:C36)</f>
        <v>1573.7</v>
      </c>
      <c r="D37" s="5">
        <f t="shared" si="2"/>
        <v>1695.2</v>
      </c>
      <c r="E37" s="5">
        <f t="shared" si="2"/>
        <v>1599.1000000000001</v>
      </c>
      <c r="F37" s="5">
        <f t="shared" si="2"/>
        <v>1622</v>
      </c>
      <c r="G37" s="5">
        <f t="shared" si="2"/>
        <v>1663.08716</v>
      </c>
      <c r="H37" s="5">
        <f t="shared" si="2"/>
        <v>1702.9120672000001</v>
      </c>
      <c r="I37" s="5">
        <f t="shared" si="2"/>
        <v>1743.3197779200002</v>
      </c>
      <c r="J37" s="5">
        <f t="shared" si="2"/>
        <v>1767.9038291220484</v>
      </c>
      <c r="K37" s="5">
        <f t="shared" si="2"/>
        <v>1791.7230431755884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</row>
    <row r="38" spans="1:155" ht="12.75">
      <c r="A38" t="s">
        <v>39</v>
      </c>
      <c r="C38" s="5">
        <f aca="true" t="shared" si="3" ref="C38:K38">C31-C37</f>
        <v>790.3999999999999</v>
      </c>
      <c r="D38" s="5">
        <f t="shared" si="3"/>
        <v>614.6000000000001</v>
      </c>
      <c r="E38" s="5">
        <f t="shared" si="3"/>
        <v>582.8999999999999</v>
      </c>
      <c r="F38" s="5">
        <f t="shared" si="3"/>
        <v>557.7499999999995</v>
      </c>
      <c r="G38" s="5">
        <f t="shared" si="3"/>
        <v>643.8434399999996</v>
      </c>
      <c r="H38" s="5">
        <f t="shared" si="3"/>
        <v>746.8053951999998</v>
      </c>
      <c r="I38" s="5">
        <f t="shared" si="3"/>
        <v>830.6513949440002</v>
      </c>
      <c r="J38" s="5">
        <f t="shared" si="3"/>
        <v>936.3418031032322</v>
      </c>
      <c r="K38" s="5">
        <f t="shared" si="3"/>
        <v>1020.6924143387037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</row>
    <row r="39" spans="1:155" ht="12.75">
      <c r="A39" t="s">
        <v>40</v>
      </c>
      <c r="C39" s="5"/>
      <c r="D39" s="5">
        <v>0</v>
      </c>
      <c r="E39" s="5">
        <v>0</v>
      </c>
      <c r="F39" s="5">
        <v>0</v>
      </c>
      <c r="G39" s="5">
        <f>G8*(G47+G50)</f>
        <v>23.183073779715084</v>
      </c>
      <c r="H39" s="5">
        <f>H8*(H47+H50)</f>
        <v>40.488358528590595</v>
      </c>
      <c r="I39" s="5">
        <f>I8*(I47+I50)</f>
        <v>47.35251259185583</v>
      </c>
      <c r="J39" s="5">
        <f>J8*(J47+J50)</f>
        <v>74.04146412598455</v>
      </c>
      <c r="K39" s="5">
        <f>K8*(K47+K50)</f>
        <v>96.48493689331946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</row>
    <row r="40" spans="1:155" ht="12.75">
      <c r="A40" t="s">
        <v>41</v>
      </c>
      <c r="C40" s="5">
        <v>90.1</v>
      </c>
      <c r="D40" s="5">
        <v>110.8</v>
      </c>
      <c r="E40" s="5">
        <v>131.6</v>
      </c>
      <c r="F40" s="5">
        <v>153</v>
      </c>
      <c r="G40" s="5">
        <f>BP_App_B3!C27/1000</f>
        <v>126.8706191525166</v>
      </c>
      <c r="H40" s="5">
        <f>BP_App_B3!D27/1000</f>
        <v>128.4851033471666</v>
      </c>
      <c r="I40" s="5">
        <f>BP_App_B3!E27/1000</f>
        <v>121.47896946905027</v>
      </c>
      <c r="J40" s="5">
        <f>BP_App_B3!F27/1000</f>
        <v>95.79395326686411</v>
      </c>
      <c r="K40" s="5">
        <f>BP_App_B3!G27/1000</f>
        <v>96.1031478928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</row>
    <row r="41" spans="1:155" ht="12.75">
      <c r="A41" t="s">
        <v>42</v>
      </c>
      <c r="C41" s="5">
        <f aca="true" t="shared" si="4" ref="C41:K41">C38+C39-C40</f>
        <v>700.2999999999998</v>
      </c>
      <c r="D41" s="5">
        <f t="shared" si="4"/>
        <v>503.8000000000001</v>
      </c>
      <c r="E41" s="5">
        <f t="shared" si="4"/>
        <v>451.29999999999984</v>
      </c>
      <c r="F41" s="5">
        <f t="shared" si="4"/>
        <v>404.74999999999955</v>
      </c>
      <c r="G41" s="5">
        <f t="shared" si="4"/>
        <v>540.1558946271981</v>
      </c>
      <c r="H41" s="5">
        <f t="shared" si="4"/>
        <v>658.8086503814238</v>
      </c>
      <c r="I41" s="5">
        <f t="shared" si="4"/>
        <v>756.5249380668058</v>
      </c>
      <c r="J41" s="5">
        <f t="shared" si="4"/>
        <v>914.5893139623527</v>
      </c>
      <c r="K41" s="5">
        <f t="shared" si="4"/>
        <v>1021.074203339223</v>
      </c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</row>
    <row r="42" spans="1:155" ht="12.75">
      <c r="A42" t="s">
        <v>43</v>
      </c>
      <c r="C42" s="5">
        <v>200.6</v>
      </c>
      <c r="D42" s="5">
        <v>131</v>
      </c>
      <c r="E42" s="5">
        <v>61.777</v>
      </c>
      <c r="F42" s="5">
        <v>55.247</v>
      </c>
      <c r="G42" s="5">
        <f>G41*G10</f>
        <v>97.22806103289565</v>
      </c>
      <c r="H42" s="5">
        <f>H41*H10</f>
        <v>144.93790308391326</v>
      </c>
      <c r="I42" s="5">
        <f>I41*I10</f>
        <v>189.13123451670145</v>
      </c>
      <c r="J42" s="5">
        <f>J41*J10</f>
        <v>274.3767941887058</v>
      </c>
      <c r="K42" s="5">
        <f>K41*K10</f>
        <v>377.79745523551253</v>
      </c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</row>
    <row r="43" spans="1:155" ht="12.75">
      <c r="A43" t="s">
        <v>44</v>
      </c>
      <c r="C43" s="5">
        <f aca="true" t="shared" si="5" ref="C43:K43">C41-C42</f>
        <v>499.6999999999998</v>
      </c>
      <c r="D43" s="5">
        <f t="shared" si="5"/>
        <v>372.8000000000001</v>
      </c>
      <c r="E43" s="5">
        <f t="shared" si="5"/>
        <v>389.52299999999985</v>
      </c>
      <c r="F43" s="5">
        <f t="shared" si="5"/>
        <v>349.50299999999953</v>
      </c>
      <c r="G43" s="5">
        <f t="shared" si="5"/>
        <v>442.92783359430246</v>
      </c>
      <c r="H43" s="5">
        <f t="shared" si="5"/>
        <v>513.8707472975105</v>
      </c>
      <c r="I43" s="5">
        <f t="shared" si="5"/>
        <v>567.3937035501044</v>
      </c>
      <c r="J43" s="5">
        <f t="shared" si="5"/>
        <v>640.2125197736468</v>
      </c>
      <c r="K43" s="5">
        <f t="shared" si="5"/>
        <v>643.2767481037105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</row>
    <row r="44" spans="4:155" ht="12.75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</row>
    <row r="45" spans="1:155" ht="12.75">
      <c r="A45" s="1" t="s">
        <v>625</v>
      </c>
      <c r="F45" s="90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</row>
    <row r="46" spans="1:155" ht="12.75">
      <c r="A46" t="s">
        <v>46</v>
      </c>
      <c r="D46" s="5"/>
      <c r="E46" s="5"/>
      <c r="F46" s="12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</row>
    <row r="47" spans="1:155" ht="12.75">
      <c r="A47" t="s">
        <v>120</v>
      </c>
      <c r="C47" s="5">
        <v>695</v>
      </c>
      <c r="D47" s="5">
        <v>212.5</v>
      </c>
      <c r="E47" s="5">
        <v>247.4</v>
      </c>
      <c r="F47" s="5">
        <v>232.4</v>
      </c>
      <c r="G47" s="5">
        <f>G14*G26</f>
        <v>218.55131999999998</v>
      </c>
      <c r="H47" s="5">
        <f>H14*H26</f>
        <v>227.29337280000001</v>
      </c>
      <c r="I47" s="5">
        <f>I14*I26</f>
        <v>236.38510771200004</v>
      </c>
      <c r="J47" s="5">
        <f>J14*J26</f>
        <v>245.84051202048005</v>
      </c>
      <c r="K47" s="5">
        <f>K14*K26</f>
        <v>255.67413250129925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</row>
    <row r="48" spans="1:155" ht="12.75">
      <c r="A48" t="s">
        <v>118</v>
      </c>
      <c r="C48" s="5">
        <f>2461.7-695</f>
        <v>1766.6999999999998</v>
      </c>
      <c r="D48" s="5">
        <f>2057.8-212.5</f>
        <v>1845.3000000000002</v>
      </c>
      <c r="E48" s="5">
        <f>1851.9-247.4</f>
        <v>1604.5</v>
      </c>
      <c r="F48" s="5">
        <f>1751.5-232.4</f>
        <v>1519.1</v>
      </c>
      <c r="G48" s="5">
        <f>G26*G11</f>
        <v>1699.8436</v>
      </c>
      <c r="H48" s="5">
        <f>H26*H11</f>
        <v>1767.837344</v>
      </c>
      <c r="I48" s="5">
        <f>I26*I11</f>
        <v>1838.5508377600001</v>
      </c>
      <c r="J48" s="5">
        <f>J26*J11</f>
        <v>1912.0928712704003</v>
      </c>
      <c r="K48" s="5">
        <f>K26*K11</f>
        <v>1988.5765861212165</v>
      </c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</row>
    <row r="49" spans="1:155" ht="12.75">
      <c r="A49" t="s">
        <v>47</v>
      </c>
      <c r="C49" s="5">
        <f aca="true" t="shared" si="6" ref="C49:K49">SUM(C47:C48)</f>
        <v>2461.7</v>
      </c>
      <c r="D49" s="5">
        <f t="shared" si="6"/>
        <v>2057.8</v>
      </c>
      <c r="E49" s="5">
        <f t="shared" si="6"/>
        <v>1851.9</v>
      </c>
      <c r="F49" s="5">
        <f t="shared" si="6"/>
        <v>1751.5</v>
      </c>
      <c r="G49" s="5">
        <f t="shared" si="6"/>
        <v>1918.39492</v>
      </c>
      <c r="H49" s="5">
        <f t="shared" si="6"/>
        <v>1995.1307168</v>
      </c>
      <c r="I49" s="5">
        <f t="shared" si="6"/>
        <v>2074.935945472</v>
      </c>
      <c r="J49" s="5">
        <f t="shared" si="6"/>
        <v>2157.9333832908806</v>
      </c>
      <c r="K49" s="5">
        <f t="shared" si="6"/>
        <v>2244.2507186225157</v>
      </c>
      <c r="L49" s="4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</row>
    <row r="50" spans="1:155" ht="12.75">
      <c r="A50" t="s">
        <v>119</v>
      </c>
      <c r="C50" s="5"/>
      <c r="D50" s="5"/>
      <c r="E50" s="5"/>
      <c r="F50" s="5"/>
      <c r="G50" s="5">
        <f>IF(G59&gt;0,0,G64+G60+G58+G56-G49-G53-G54)</f>
        <v>245.11015559430166</v>
      </c>
      <c r="H50" s="5">
        <f>IF(H59&gt;0,0,H64+H60+H58+H56-H49-H53-H54)</f>
        <v>582.4737977718119</v>
      </c>
      <c r="I50" s="5">
        <f>IF(I59&gt;0,0,I64+I60+I58+I56-I49-I53-I54)</f>
        <v>710.6651441251165</v>
      </c>
      <c r="J50" s="5">
        <f>IF(J59&gt;0,0,J64+J60+J58+J56-J49-J53-J54)</f>
        <v>1234.988770499211</v>
      </c>
      <c r="K50" s="5">
        <f>IF(K59&gt;0,0,K64+K60+K58+K56-K49-K53-K54)</f>
        <v>1674.0246053650899</v>
      </c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</row>
    <row r="51" spans="1:155" ht="12.75">
      <c r="A51" t="s">
        <v>48</v>
      </c>
      <c r="C51" s="5">
        <v>938.5</v>
      </c>
      <c r="D51" s="5">
        <v>1159</v>
      </c>
      <c r="E51" s="5">
        <f>955.775+191.2</f>
        <v>1146.975</v>
      </c>
      <c r="F51" s="5">
        <f>952.726+168.1</f>
        <v>1120.826</v>
      </c>
      <c r="G51" s="5">
        <f>G26*G13</f>
        <v>1214.174</v>
      </c>
      <c r="H51" s="5">
        <f>H26*H13</f>
        <v>1262.74096</v>
      </c>
      <c r="I51" s="5">
        <f>I26*I13</f>
        <v>1313.2505984000002</v>
      </c>
      <c r="J51" s="5">
        <f>J26*J13</f>
        <v>1365.7806223360003</v>
      </c>
      <c r="K51" s="5">
        <f>K26*K13</f>
        <v>1420.4118472294404</v>
      </c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</row>
    <row r="52" spans="1:155" ht="12.75">
      <c r="A52" t="s">
        <v>117</v>
      </c>
      <c r="C52" s="5">
        <v>337</v>
      </c>
      <c r="D52" s="5">
        <v>422</v>
      </c>
      <c r="E52" s="5">
        <v>422</v>
      </c>
      <c r="F52" s="5">
        <v>473</v>
      </c>
      <c r="G52" s="5">
        <f>F52+G29</f>
        <v>573.776442</v>
      </c>
      <c r="H52" s="5">
        <f>G52+H29</f>
        <v>678.58394168</v>
      </c>
      <c r="I52" s="5">
        <f>H52+I29</f>
        <v>787.5837413472</v>
      </c>
      <c r="J52" s="5">
        <f>I52+J29</f>
        <v>900.943533001088</v>
      </c>
      <c r="K52" s="5">
        <f>J52+K29</f>
        <v>1018.8377163211316</v>
      </c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</row>
    <row r="53" spans="1:155" ht="12.75">
      <c r="A53" t="s">
        <v>49</v>
      </c>
      <c r="C53" s="5">
        <f aca="true" t="shared" si="7" ref="C53:K53">C51-C52</f>
        <v>601.5</v>
      </c>
      <c r="D53" s="5">
        <f t="shared" si="7"/>
        <v>737</v>
      </c>
      <c r="E53" s="5">
        <f t="shared" si="7"/>
        <v>724.9749999999999</v>
      </c>
      <c r="F53" s="5">
        <f t="shared" si="7"/>
        <v>647.826</v>
      </c>
      <c r="G53" s="5">
        <f t="shared" si="7"/>
        <v>640.397558</v>
      </c>
      <c r="H53" s="5">
        <f t="shared" si="7"/>
        <v>584.1570183200001</v>
      </c>
      <c r="I53" s="5">
        <f t="shared" si="7"/>
        <v>525.6668570528002</v>
      </c>
      <c r="J53" s="5">
        <f t="shared" si="7"/>
        <v>464.8370893349123</v>
      </c>
      <c r="K53" s="5">
        <f t="shared" si="7"/>
        <v>401.5741309083088</v>
      </c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</row>
    <row r="54" spans="1:155" ht="12.75">
      <c r="A54" t="s">
        <v>67</v>
      </c>
      <c r="C54" s="5">
        <f>206.3+534.1+111.2</f>
        <v>851.6000000000001</v>
      </c>
      <c r="D54" s="5">
        <f>1467.9+350.6</f>
        <v>1818.5</v>
      </c>
      <c r="E54" s="5">
        <f>1200.6+434.7+462</f>
        <v>2097.3</v>
      </c>
      <c r="F54" s="5">
        <f>1136.9+765.7+11.5</f>
        <v>1914.1000000000001</v>
      </c>
      <c r="G54" s="5">
        <f>F54-G12</f>
        <v>1913.7500000000002</v>
      </c>
      <c r="H54" s="5">
        <f>G54-H12</f>
        <v>1913.4500000000003</v>
      </c>
      <c r="I54" s="5">
        <f>H54-I12</f>
        <v>1913.2000000000003</v>
      </c>
      <c r="J54" s="5">
        <f>I54-J12</f>
        <v>1913.0000000000002</v>
      </c>
      <c r="K54" s="5">
        <f>J54-K12</f>
        <v>1912.8000000000002</v>
      </c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</row>
    <row r="55" spans="1:155" ht="12.75">
      <c r="A55" s="1" t="s">
        <v>50</v>
      </c>
      <c r="B55" s="1"/>
      <c r="C55" s="40">
        <f aca="true" t="shared" si="8" ref="C55:K55">C49+C50+C53+C54</f>
        <v>3914.8</v>
      </c>
      <c r="D55" s="40">
        <f t="shared" si="8"/>
        <v>4613.3</v>
      </c>
      <c r="E55" s="40">
        <f t="shared" si="8"/>
        <v>4674.175</v>
      </c>
      <c r="F55" s="40">
        <f t="shared" si="8"/>
        <v>4313.426</v>
      </c>
      <c r="G55" s="40">
        <f t="shared" si="8"/>
        <v>4717.652633594302</v>
      </c>
      <c r="H55" s="40">
        <f t="shared" si="8"/>
        <v>5075.211532891812</v>
      </c>
      <c r="I55" s="40">
        <f t="shared" si="8"/>
        <v>5224.4679466499165</v>
      </c>
      <c r="J55" s="40">
        <f t="shared" si="8"/>
        <v>5770.759243125004</v>
      </c>
      <c r="K55" s="40">
        <f t="shared" si="8"/>
        <v>6232.6494548959145</v>
      </c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</row>
    <row r="56" spans="1:155" ht="12.75">
      <c r="A56" t="s">
        <v>51</v>
      </c>
      <c r="C56" s="5">
        <v>1173.4</v>
      </c>
      <c r="D56" s="5">
        <v>1317.2</v>
      </c>
      <c r="E56" s="5">
        <v>1565.4</v>
      </c>
      <c r="F56" s="5">
        <v>1502.4</v>
      </c>
      <c r="G56" s="5">
        <f>G26*G15</f>
        <v>1457.0087999999998</v>
      </c>
      <c r="H56" s="5">
        <f>H26*H15</f>
        <v>1515.289152</v>
      </c>
      <c r="I56" s="5">
        <f>I26*I15</f>
        <v>1470.8406702080003</v>
      </c>
      <c r="J56" s="5">
        <f>J26*J15</f>
        <v>1420.4118472294404</v>
      </c>
      <c r="K56" s="5">
        <f>K26*K15</f>
        <v>1420.4118472294404</v>
      </c>
      <c r="L56" s="4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</row>
    <row r="57" spans="1:155" ht="12.75">
      <c r="A57" t="s">
        <v>52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</row>
    <row r="58" spans="1:155" ht="12.75">
      <c r="A58" t="s">
        <v>109</v>
      </c>
      <c r="C58" s="5">
        <v>664.1</v>
      </c>
      <c r="D58" s="5">
        <v>983.5</v>
      </c>
      <c r="E58" s="5">
        <v>982.9</v>
      </c>
      <c r="F58" s="5">
        <v>1242.4</v>
      </c>
      <c r="G58" s="5">
        <f>BP_App_B4!D29/1000</f>
        <v>1242.396</v>
      </c>
      <c r="H58" s="5">
        <f>BP_App_B4!E29/1000</f>
        <v>1020.919</v>
      </c>
      <c r="I58" s="5">
        <f>BP_App_B4!F29/1000</f>
        <v>640.07</v>
      </c>
      <c r="J58" s="5">
        <f>BP_App_B4!G29/1000</f>
        <v>589.131</v>
      </c>
      <c r="K58" s="5">
        <f>BP_App_B4!H29/1000</f>
        <v>400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</row>
    <row r="59" spans="1:155" ht="12.75">
      <c r="A59" t="s">
        <v>110</v>
      </c>
      <c r="C59" s="5">
        <v>0</v>
      </c>
      <c r="D59" s="5">
        <v>0</v>
      </c>
      <c r="E59" s="5">
        <v>0</v>
      </c>
      <c r="F59" s="5">
        <v>0</v>
      </c>
      <c r="G59" s="5">
        <f>IF(G49+G53+G54-G56-G58-G60-G64&gt;0,G49+G53+G54-G56-G58-G60-G64,0)</f>
        <v>0</v>
      </c>
      <c r="H59" s="5">
        <f>IF(H49+H53+H54-H56-H58-H60-H64&gt;0,H49+H53+H54-H56-H58-H60-H64,0)</f>
        <v>0</v>
      </c>
      <c r="I59" s="5">
        <f>IF(I49+I53+I54-I56-I58-I60-I64&gt;0,I49+I53+I54-I56-I58-I60-I64,0)</f>
        <v>0</v>
      </c>
      <c r="J59" s="5">
        <f>IF(J49+J53+J54-J56-J58-J60-J64&gt;0,J49+J53+J54-J56-J58-J60-J64,0)</f>
        <v>0</v>
      </c>
      <c r="K59" s="5">
        <f>IF(K49+K53+K54-K56-K58-K60-K64&gt;0,K49+K53+K54-K56-K58-K60-K64,0)</f>
        <v>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</row>
    <row r="60" spans="1:155" ht="12.75">
      <c r="A60" t="s">
        <v>68</v>
      </c>
      <c r="C60" s="5">
        <v>144.2</v>
      </c>
      <c r="D60" s="5">
        <v>141.3</v>
      </c>
      <c r="E60" s="5">
        <v>163</v>
      </c>
      <c r="F60" s="5">
        <v>165.5</v>
      </c>
      <c r="G60" s="5">
        <f>F60*(1+G3)</f>
        <v>172.12</v>
      </c>
      <c r="H60" s="5">
        <f>G60*(1+H3)</f>
        <v>179.00480000000002</v>
      </c>
      <c r="I60" s="5">
        <f>H60*(1+I3)</f>
        <v>186.164992</v>
      </c>
      <c r="J60" s="5">
        <f>I60*(1+J3)</f>
        <v>193.61159168000003</v>
      </c>
      <c r="K60" s="5">
        <f>J60*(1+K3)</f>
        <v>201.35605534720003</v>
      </c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</row>
    <row r="61" spans="1:155" ht="12.75">
      <c r="A61" s="1" t="s">
        <v>69</v>
      </c>
      <c r="B61" s="1"/>
      <c r="C61" s="40">
        <f aca="true" t="shared" si="9" ref="C61:K61">C56+C58+C59+C60</f>
        <v>1981.7</v>
      </c>
      <c r="D61" s="40">
        <f t="shared" si="9"/>
        <v>2442</v>
      </c>
      <c r="E61" s="40">
        <f t="shared" si="9"/>
        <v>2711.3</v>
      </c>
      <c r="F61" s="40">
        <f t="shared" si="9"/>
        <v>2910.3</v>
      </c>
      <c r="G61" s="40">
        <f t="shared" si="9"/>
        <v>2871.5247999999997</v>
      </c>
      <c r="H61" s="40">
        <f t="shared" si="9"/>
        <v>2715.2129520000003</v>
      </c>
      <c r="I61" s="40">
        <f t="shared" si="9"/>
        <v>2297.0756622080003</v>
      </c>
      <c r="J61" s="40">
        <f t="shared" si="9"/>
        <v>2203.15443890944</v>
      </c>
      <c r="K61" s="40">
        <f t="shared" si="9"/>
        <v>2021.7679025766404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</row>
    <row r="62" spans="1:155" ht="12.75">
      <c r="A62" t="s">
        <v>54</v>
      </c>
      <c r="C62" s="5">
        <f>C64-C63</f>
        <v>727.8999999999999</v>
      </c>
      <c r="D62" s="5">
        <f>0.8-210.2+405.1+1845.2</f>
        <v>2040.9</v>
      </c>
      <c r="E62" s="5">
        <f>-239.6+433.6+1729</f>
        <v>1923</v>
      </c>
      <c r="F62" s="5">
        <f>-306+435.6+1706.6</f>
        <v>1836.1999999999998</v>
      </c>
      <c r="G62" s="5">
        <f>F62</f>
        <v>1836.1999999999998</v>
      </c>
      <c r="H62" s="5">
        <f>G62</f>
        <v>1836.1999999999998</v>
      </c>
      <c r="I62" s="5">
        <f>H62</f>
        <v>1836.1999999999998</v>
      </c>
      <c r="J62" s="5">
        <f>I62</f>
        <v>1836.1999999999998</v>
      </c>
      <c r="K62" s="5">
        <f>J62</f>
        <v>1836.1999999999998</v>
      </c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</row>
    <row r="63" spans="1:155" ht="12.75">
      <c r="A63" t="s">
        <v>55</v>
      </c>
      <c r="C63" s="5">
        <f>1490.8-285.4</f>
        <v>1205.4</v>
      </c>
      <c r="D63" s="5">
        <f>625.2-495.4</f>
        <v>129.80000000000007</v>
      </c>
      <c r="E63" s="5">
        <f>401.6-361.8</f>
        <v>39.80000000000001</v>
      </c>
      <c r="F63" s="5">
        <f>-144.4-288.6</f>
        <v>-433</v>
      </c>
      <c r="G63" s="5">
        <f>F63+G43</f>
        <v>9.927833594302456</v>
      </c>
      <c r="H63" s="5">
        <f>G63+H43</f>
        <v>523.798580891813</v>
      </c>
      <c r="I63" s="5">
        <f>H63+I43</f>
        <v>1091.1922844419173</v>
      </c>
      <c r="J63" s="5">
        <f>I63+J43</f>
        <v>1731.4048042155641</v>
      </c>
      <c r="K63" s="5">
        <f>J63+K43</f>
        <v>2374.6815523192745</v>
      </c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</row>
    <row r="64" spans="1:155" s="1" customFormat="1" ht="12.75">
      <c r="A64" s="1" t="s">
        <v>53</v>
      </c>
      <c r="C64" s="40">
        <v>1933.3</v>
      </c>
      <c r="D64" s="40">
        <f aca="true" t="shared" si="10" ref="D64:K64">SUM(D62:D63)</f>
        <v>2170.7000000000003</v>
      </c>
      <c r="E64" s="40">
        <f t="shared" si="10"/>
        <v>1962.8</v>
      </c>
      <c r="F64" s="40">
        <f t="shared" si="10"/>
        <v>1403.1999999999998</v>
      </c>
      <c r="G64" s="40">
        <f t="shared" si="10"/>
        <v>1846.1278335943023</v>
      </c>
      <c r="H64" s="40">
        <f t="shared" si="10"/>
        <v>2359.9985808918127</v>
      </c>
      <c r="I64" s="40">
        <f t="shared" si="10"/>
        <v>2927.392284441917</v>
      </c>
      <c r="J64" s="40">
        <f t="shared" si="10"/>
        <v>3567.604804215564</v>
      </c>
      <c r="K64" s="40">
        <f t="shared" si="10"/>
        <v>4210.881552319274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</row>
    <row r="65" spans="1:155" ht="12.75">
      <c r="A65" s="1" t="s">
        <v>561</v>
      </c>
      <c r="B65" s="1"/>
      <c r="C65" s="40">
        <f aca="true" t="shared" si="11" ref="C65:K65">C61+C64</f>
        <v>3915</v>
      </c>
      <c r="D65" s="40">
        <f t="shared" si="11"/>
        <v>4612.700000000001</v>
      </c>
      <c r="E65" s="40">
        <f t="shared" si="11"/>
        <v>4674.1</v>
      </c>
      <c r="F65" s="40">
        <f t="shared" si="11"/>
        <v>4313.5</v>
      </c>
      <c r="G65" s="40">
        <f t="shared" si="11"/>
        <v>4717.652633594302</v>
      </c>
      <c r="H65" s="40">
        <f t="shared" si="11"/>
        <v>5075.2115328918135</v>
      </c>
      <c r="I65" s="40">
        <f t="shared" si="11"/>
        <v>5224.467946649917</v>
      </c>
      <c r="J65" s="40">
        <f t="shared" si="11"/>
        <v>5770.759243125004</v>
      </c>
      <c r="K65" s="40">
        <f t="shared" si="11"/>
        <v>6232.6494548959145</v>
      </c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</row>
    <row r="66" spans="1:155" ht="12.75">
      <c r="A66" t="s">
        <v>443</v>
      </c>
      <c r="C66" s="388">
        <f aca="true" t="shared" si="12" ref="C66:K66">C55-C65</f>
        <v>-0.1999999999998181</v>
      </c>
      <c r="D66" s="388">
        <f t="shared" si="12"/>
        <v>0.5999999999994543</v>
      </c>
      <c r="E66" s="388">
        <f t="shared" si="12"/>
        <v>0.0749999999998181</v>
      </c>
      <c r="F66" s="388">
        <f t="shared" si="12"/>
        <v>-0.07399999999961437</v>
      </c>
      <c r="G66" s="388">
        <f t="shared" si="12"/>
        <v>0</v>
      </c>
      <c r="H66" s="388">
        <f t="shared" si="12"/>
        <v>0</v>
      </c>
      <c r="I66" s="388">
        <f t="shared" si="12"/>
        <v>0</v>
      </c>
      <c r="J66" s="388">
        <f t="shared" si="12"/>
        <v>0</v>
      </c>
      <c r="K66" s="39">
        <f t="shared" si="12"/>
        <v>0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</row>
    <row r="67" spans="1:155" ht="12.75">
      <c r="A67" t="s">
        <v>71</v>
      </c>
      <c r="C67">
        <v>291.6</v>
      </c>
      <c r="D67" s="6">
        <v>390.8</v>
      </c>
      <c r="E67" s="6">
        <v>421.6</v>
      </c>
      <c r="F67" s="6">
        <v>426</v>
      </c>
      <c r="G67" s="6">
        <f>G16</f>
        <v>426</v>
      </c>
      <c r="H67" s="6">
        <f>H16</f>
        <v>426</v>
      </c>
      <c r="I67" s="6">
        <f>I16</f>
        <v>426</v>
      </c>
      <c r="J67" s="6">
        <f>J16</f>
        <v>426</v>
      </c>
      <c r="K67" s="6">
        <f>K16</f>
        <v>426</v>
      </c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</row>
    <row r="68" spans="1:155" ht="12.75">
      <c r="A68" t="s">
        <v>70</v>
      </c>
      <c r="C68" s="11">
        <f aca="true" t="shared" si="13" ref="C68:K68">C42/C41</f>
        <v>0.2864486648579181</v>
      </c>
      <c r="D68" s="11">
        <f t="shared" si="13"/>
        <v>0.26002381897578397</v>
      </c>
      <c r="E68" s="11">
        <f t="shared" si="13"/>
        <v>0.1368867715488589</v>
      </c>
      <c r="F68" s="11">
        <f t="shared" si="13"/>
        <v>0.1364966028412602</v>
      </c>
      <c r="G68" s="11">
        <f t="shared" si="13"/>
        <v>0.18</v>
      </c>
      <c r="H68" s="11">
        <f t="shared" si="13"/>
        <v>0.22000000000000003</v>
      </c>
      <c r="I68" s="11">
        <f t="shared" si="13"/>
        <v>0.25</v>
      </c>
      <c r="J68" s="11">
        <f t="shared" si="13"/>
        <v>0.3</v>
      </c>
      <c r="K68" s="11">
        <f t="shared" si="13"/>
        <v>0.37</v>
      </c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</row>
    <row r="69" spans="1:155" ht="12.75">
      <c r="A69" t="s">
        <v>122</v>
      </c>
      <c r="C69" s="41">
        <f aca="true" t="shared" si="14" ref="C69:K69">C43/C67</f>
        <v>1.7136488340192035</v>
      </c>
      <c r="D69" s="41">
        <f t="shared" si="14"/>
        <v>0.9539406345957014</v>
      </c>
      <c r="E69" s="41">
        <f t="shared" si="14"/>
        <v>0.9239160341555973</v>
      </c>
      <c r="F69" s="41">
        <f t="shared" si="14"/>
        <v>0.8204295774647876</v>
      </c>
      <c r="G69" s="41">
        <f t="shared" si="14"/>
        <v>1.0397366985781749</v>
      </c>
      <c r="H69" s="41">
        <f t="shared" si="14"/>
        <v>1.2062693598533112</v>
      </c>
      <c r="I69" s="41">
        <f t="shared" si="14"/>
        <v>1.3319101022302922</v>
      </c>
      <c r="J69" s="41">
        <f t="shared" si="14"/>
        <v>1.5028462905484667</v>
      </c>
      <c r="K69" s="41">
        <f t="shared" si="14"/>
        <v>1.5100393147974425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</row>
    <row r="70" spans="1:155" ht="12.75">
      <c r="A70" t="s">
        <v>268</v>
      </c>
      <c r="C70" s="38">
        <f>(C58+59)/C64</f>
        <v>0.3740236900636218</v>
      </c>
      <c r="D70" s="38">
        <f aca="true" t="shared" si="15" ref="D70:K70">(D58+59)/D64</f>
        <v>0.48025982401990136</v>
      </c>
      <c r="E70" s="38">
        <f t="shared" si="15"/>
        <v>0.5308233136335847</v>
      </c>
      <c r="F70" s="38">
        <f t="shared" si="15"/>
        <v>0.9274515393386547</v>
      </c>
      <c r="G70" s="38">
        <f t="shared" si="15"/>
        <v>0.7049327659321719</v>
      </c>
      <c r="H70" s="38">
        <f t="shared" si="15"/>
        <v>0.45759307176867564</v>
      </c>
      <c r="I70" s="38">
        <f t="shared" si="15"/>
        <v>0.2388029796058822</v>
      </c>
      <c r="J70" s="38">
        <f t="shared" si="15"/>
        <v>0.18167118713209307</v>
      </c>
      <c r="K70" s="38">
        <f t="shared" si="15"/>
        <v>0.10900330353561986</v>
      </c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</row>
    <row r="71" spans="1:155" ht="12.75">
      <c r="A71" s="55" t="s">
        <v>417</v>
      </c>
      <c r="B71" s="82"/>
      <c r="C71" s="53">
        <f aca="true" t="shared" si="16" ref="C71:K71">C49-C56</f>
        <v>1288.2999999999997</v>
      </c>
      <c r="D71" s="53">
        <f t="shared" si="16"/>
        <v>740.6000000000001</v>
      </c>
      <c r="E71" s="53">
        <f t="shared" si="16"/>
        <v>286.5</v>
      </c>
      <c r="F71" s="53">
        <f t="shared" si="16"/>
        <v>249.0999999999999</v>
      </c>
      <c r="G71" s="53">
        <f t="shared" si="16"/>
        <v>461.3861200000001</v>
      </c>
      <c r="H71" s="53">
        <f t="shared" si="16"/>
        <v>479.8415648</v>
      </c>
      <c r="I71" s="53">
        <f t="shared" si="16"/>
        <v>604.0952752639998</v>
      </c>
      <c r="J71" s="53">
        <f t="shared" si="16"/>
        <v>737.5215360614402</v>
      </c>
      <c r="K71" s="53">
        <f t="shared" si="16"/>
        <v>823.8388713930754</v>
      </c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</row>
    <row r="72" spans="1:155" ht="12.75">
      <c r="A72" s="1" t="s">
        <v>56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</row>
    <row r="73" spans="1:155" ht="12.75">
      <c r="A73" t="s">
        <v>57</v>
      </c>
      <c r="C73" s="5">
        <f aca="true" t="shared" si="17" ref="C73:K73">C38*(1-C68)</f>
        <v>563.9909752963015</v>
      </c>
      <c r="D73" s="5">
        <f t="shared" si="17"/>
        <v>454.78936085748325</v>
      </c>
      <c r="E73" s="5">
        <f t="shared" si="17"/>
        <v>503.10870086417003</v>
      </c>
      <c r="F73" s="5">
        <f t="shared" si="17"/>
        <v>481.61901976528674</v>
      </c>
      <c r="G73" s="5">
        <f t="shared" si="17"/>
        <v>527.9516207999998</v>
      </c>
      <c r="H73" s="5">
        <f t="shared" si="17"/>
        <v>582.5082082559999</v>
      </c>
      <c r="I73" s="5">
        <f t="shared" si="17"/>
        <v>622.9885462080001</v>
      </c>
      <c r="J73" s="5">
        <f t="shared" si="17"/>
        <v>655.4392621722625</v>
      </c>
      <c r="K73" s="5">
        <f t="shared" si="17"/>
        <v>643.0362210333833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</row>
    <row r="74" spans="1:155" ht="12.75">
      <c r="A74" t="s">
        <v>527</v>
      </c>
      <c r="C74" s="10">
        <f aca="true" t="shared" si="18" ref="C74:K74">C29+C35</f>
        <v>132</v>
      </c>
      <c r="D74" s="10">
        <f t="shared" si="18"/>
        <v>144</v>
      </c>
      <c r="E74" s="10">
        <f t="shared" si="18"/>
        <v>133</v>
      </c>
      <c r="F74" s="10">
        <f t="shared" si="18"/>
        <v>127</v>
      </c>
      <c r="G74" s="10">
        <f t="shared" si="18"/>
        <v>152.776442</v>
      </c>
      <c r="H74" s="10">
        <f t="shared" si="18"/>
        <v>156.80749968</v>
      </c>
      <c r="I74" s="10">
        <f t="shared" si="18"/>
        <v>160.99979966720002</v>
      </c>
      <c r="J74" s="10">
        <f t="shared" si="18"/>
        <v>165.35979165388804</v>
      </c>
      <c r="K74" s="10">
        <f t="shared" si="18"/>
        <v>169.89418332004357</v>
      </c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</row>
    <row r="75" spans="1:155" ht="12.75">
      <c r="A75" t="s">
        <v>528</v>
      </c>
      <c r="C75" s="5">
        <v>201</v>
      </c>
      <c r="D75" s="5">
        <f aca="true" t="shared" si="19" ref="D75:K75">D51-C51</f>
        <v>220.5</v>
      </c>
      <c r="E75" s="5">
        <f t="shared" si="19"/>
        <v>-12.025000000000091</v>
      </c>
      <c r="F75" s="5">
        <f t="shared" si="19"/>
        <v>-26.148999999999887</v>
      </c>
      <c r="G75" s="5">
        <f t="shared" si="19"/>
        <v>93.34799999999996</v>
      </c>
      <c r="H75" s="5">
        <f t="shared" si="19"/>
        <v>48.56696000000011</v>
      </c>
      <c r="I75" s="5">
        <f t="shared" si="19"/>
        <v>50.509638400000085</v>
      </c>
      <c r="J75" s="5">
        <f t="shared" si="19"/>
        <v>52.530023936000134</v>
      </c>
      <c r="K75" s="5">
        <f t="shared" si="19"/>
        <v>54.63122489344005</v>
      </c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</row>
    <row r="76" spans="1:155" ht="12.75">
      <c r="A76" t="s">
        <v>59</v>
      </c>
      <c r="C76" s="5">
        <v>-200</v>
      </c>
      <c r="D76" s="5">
        <f aca="true" t="shared" si="20" ref="D76:K76">(D49-D56)-(C49-C56)</f>
        <v>-547.6999999999996</v>
      </c>
      <c r="E76" s="5">
        <f t="shared" si="20"/>
        <v>-454.10000000000014</v>
      </c>
      <c r="F76" s="5">
        <f t="shared" si="20"/>
        <v>-37.40000000000009</v>
      </c>
      <c r="G76" s="5">
        <f t="shared" si="20"/>
        <v>212.2861200000002</v>
      </c>
      <c r="H76" s="5">
        <f t="shared" si="20"/>
        <v>18.455444799999896</v>
      </c>
      <c r="I76" s="5">
        <f t="shared" si="20"/>
        <v>124.25371046399982</v>
      </c>
      <c r="J76" s="5">
        <f t="shared" si="20"/>
        <v>133.42626079744036</v>
      </c>
      <c r="K76" s="5">
        <f t="shared" si="20"/>
        <v>86.31733533163515</v>
      </c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</row>
    <row r="77" spans="1:155" ht="13.5" thickBot="1">
      <c r="A77" t="s">
        <v>60</v>
      </c>
      <c r="C77" s="23">
        <f aca="true" t="shared" si="21" ref="C77:K77">C73+C74-C75-C76</f>
        <v>694.9909752963015</v>
      </c>
      <c r="D77" s="23">
        <f t="shared" si="21"/>
        <v>925.9893608574828</v>
      </c>
      <c r="E77" s="23">
        <f t="shared" si="21"/>
        <v>1102.2337008641703</v>
      </c>
      <c r="F77" s="23">
        <f t="shared" si="21"/>
        <v>672.1680197652868</v>
      </c>
      <c r="G77" s="23">
        <f t="shared" si="21"/>
        <v>375.0939427999996</v>
      </c>
      <c r="H77" s="23">
        <f t="shared" si="21"/>
        <v>672.2933031359998</v>
      </c>
      <c r="I77" s="23">
        <f t="shared" si="21"/>
        <v>609.2249970112002</v>
      </c>
      <c r="J77" s="23">
        <f t="shared" si="21"/>
        <v>634.84276909271</v>
      </c>
      <c r="K77" s="23">
        <f t="shared" si="21"/>
        <v>671.9818441283517</v>
      </c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</row>
    <row r="78" spans="3:155" ht="13.5" thickTop="1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</row>
    <row r="79" spans="1:155" ht="15">
      <c r="A79" s="419" t="s">
        <v>607</v>
      </c>
      <c r="B79" s="419"/>
      <c r="C79" s="420">
        <f>NPV(C17,G77:K77)</f>
        <v>2100.0339702732435</v>
      </c>
      <c r="D79" s="5"/>
      <c r="E79" s="7"/>
      <c r="F79" s="5"/>
      <c r="G79" s="5"/>
      <c r="H79" s="5"/>
      <c r="I79" s="5"/>
      <c r="J79" s="5"/>
      <c r="K79" s="58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</row>
    <row r="80" spans="1:155" ht="12.75">
      <c r="A80" s="419" t="s">
        <v>61</v>
      </c>
      <c r="B80" s="419"/>
      <c r="C80" s="420">
        <f>((K77*(1+C19))/(C18-C19))/(1+C17)^5</f>
        <v>6342.340569956229</v>
      </c>
      <c r="D80" s="5"/>
      <c r="E80" t="s">
        <v>98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</row>
    <row r="81" spans="1:155" ht="12.75">
      <c r="A81" s="419" t="s">
        <v>62</v>
      </c>
      <c r="B81" s="419"/>
      <c r="C81" s="420">
        <f>SUM(C79:C80)</f>
        <v>8442.374540229473</v>
      </c>
      <c r="D81" s="48"/>
      <c r="E81" t="s">
        <v>444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</row>
    <row r="82" spans="1:155" ht="12.75">
      <c r="A82" s="419" t="s">
        <v>63</v>
      </c>
      <c r="B82" s="419"/>
      <c r="C82" s="420">
        <f>BP_App_B4!C33/1000</f>
        <v>1170.7623112784509</v>
      </c>
      <c r="D82" s="5"/>
      <c r="E82" t="s">
        <v>445</v>
      </c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</row>
    <row r="83" spans="1:155" ht="12.75">
      <c r="A83" s="419" t="s">
        <v>506</v>
      </c>
      <c r="B83" s="419"/>
      <c r="C83" s="421">
        <f>G50</f>
        <v>245.11015559430166</v>
      </c>
      <c r="D83" s="5"/>
      <c r="E83" t="s">
        <v>529</v>
      </c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</row>
    <row r="84" spans="1:155" ht="12.75">
      <c r="A84" s="419" t="s">
        <v>64</v>
      </c>
      <c r="B84" s="419"/>
      <c r="C84" s="420">
        <f>C81-C82+C83</f>
        <v>7516.722384545324</v>
      </c>
      <c r="D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</row>
    <row r="85" spans="1:155" ht="12.75">
      <c r="A85" s="419" t="s">
        <v>65</v>
      </c>
      <c r="B85" s="419"/>
      <c r="C85" s="422">
        <f>C84/G67</f>
        <v>17.644888226632215</v>
      </c>
      <c r="D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</row>
    <row r="86" spans="4:155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</row>
    <row r="87" spans="4:155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</row>
    <row r="88" spans="4:155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</row>
    <row r="89" spans="4:155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</row>
    <row r="90" spans="4:155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</row>
    <row r="91" spans="4:155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</row>
    <row r="92" spans="4:155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</row>
    <row r="93" spans="4:155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</row>
    <row r="94" spans="4:155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</row>
    <row r="95" spans="4:155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</row>
    <row r="96" spans="4:155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</row>
    <row r="97" spans="4:155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</row>
    <row r="98" spans="4:155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</row>
    <row r="99" spans="4:155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</row>
    <row r="100" spans="4:155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</row>
    <row r="101" spans="4:155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</row>
    <row r="102" spans="4:155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</row>
    <row r="103" spans="4:155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</row>
    <row r="104" spans="4:155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</row>
    <row r="105" spans="4:155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</row>
    <row r="106" spans="4:155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</row>
    <row r="107" spans="4:155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</row>
    <row r="108" spans="4:155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</row>
    <row r="109" spans="4:155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</row>
    <row r="110" spans="4:155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</row>
    <row r="111" spans="4:155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</row>
    <row r="112" spans="4:155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</row>
    <row r="113" spans="4:155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</row>
    <row r="114" spans="4:155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</row>
    <row r="115" spans="4:155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</row>
    <row r="116" spans="4:155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</row>
    <row r="117" spans="4:155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</row>
    <row r="118" spans="4:155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</row>
    <row r="119" spans="4:155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</row>
    <row r="120" spans="4:155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</row>
    <row r="121" spans="4:155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</row>
    <row r="122" spans="4:155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</row>
    <row r="123" spans="4:155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</row>
    <row r="124" spans="4:155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</row>
    <row r="125" spans="4:155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</row>
    <row r="126" spans="4:155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</row>
    <row r="127" spans="4:155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</row>
    <row r="128" spans="4:155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</row>
    <row r="129" spans="4:155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</row>
    <row r="130" spans="4:155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</row>
    <row r="131" spans="4:155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</row>
    <row r="132" spans="4:155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</row>
    <row r="133" spans="4:155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</row>
    <row r="134" spans="4:155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</row>
    <row r="135" spans="4:155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</row>
    <row r="136" spans="4:155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</row>
    <row r="137" spans="4:155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</row>
    <row r="138" spans="4:155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</row>
    <row r="139" spans="4:155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</row>
    <row r="140" spans="4:155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</row>
    <row r="141" spans="4:155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</row>
    <row r="142" spans="4:155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</row>
    <row r="143" spans="4:155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</row>
    <row r="144" spans="4:155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</row>
    <row r="145" spans="4:155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</row>
    <row r="146" spans="4:155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</row>
    <row r="147" spans="4:155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</row>
    <row r="148" spans="4:155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</row>
    <row r="149" spans="4:155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</row>
    <row r="150" spans="4:155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</row>
    <row r="151" spans="4:155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</row>
    <row r="152" spans="4:155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</row>
    <row r="153" spans="4:155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</row>
    <row r="154" spans="4:155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</row>
    <row r="155" spans="4:155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</row>
    <row r="156" spans="4:155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</row>
    <row r="157" spans="4:155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</row>
    <row r="158" spans="4:155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</row>
    <row r="159" spans="4:155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</row>
    <row r="160" spans="4:155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</row>
    <row r="161" spans="4:155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</row>
    <row r="162" spans="4:155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</row>
  </sheetData>
  <sheetProtection/>
  <mergeCells count="3">
    <mergeCell ref="G23:K23"/>
    <mergeCell ref="C23:F23"/>
    <mergeCell ref="C1:K1"/>
  </mergeCells>
  <printOptions/>
  <pageMargins left="0.52" right="0.47" top="1.31" bottom="0.62" header="0.88" footer="0.3"/>
  <pageSetup horizontalDpi="300" verticalDpi="300" orientation="landscape" scale="80" r:id="rId3"/>
  <headerFooter alignWithMargins="0">
    <oddHeader>&amp;C&amp;"Arial,Bold"&amp;14
MATTEL Business Plan 2001-2005       Financial Forecast&amp;R&amp;UAppendix B-1</oddHeader>
    <oddFooter>&amp;LMattel Business Plan&amp;C&amp;P of &amp;N&amp;R&amp;D</oddFooter>
  </headerFooter>
  <rowBreaks count="1" manualBreakCount="1"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O42" sqref="O42"/>
    </sheetView>
  </sheetViews>
  <sheetFormatPr defaultColWidth="9.140625" defaultRowHeight="12.75"/>
  <cols>
    <col min="1" max="1" width="3.57421875" style="0" customWidth="1"/>
    <col min="2" max="2" width="45.140625" style="0" customWidth="1"/>
    <col min="3" max="3" width="4.140625" style="0" bestFit="1" customWidth="1"/>
    <col min="8" max="8" width="3.57421875" style="0" customWidth="1"/>
  </cols>
  <sheetData>
    <row r="1" spans="2:11" ht="12.75">
      <c r="B1" s="438" t="s">
        <v>436</v>
      </c>
      <c r="C1" s="439"/>
      <c r="D1" s="439"/>
      <c r="E1" s="439"/>
      <c r="F1" s="439"/>
      <c r="G1" s="439"/>
      <c r="H1" s="439"/>
      <c r="I1" s="439"/>
      <c r="J1" s="439"/>
      <c r="K1" s="439"/>
    </row>
    <row r="2" spans="1:7" ht="12.75">
      <c r="A2" s="1" t="s">
        <v>79</v>
      </c>
      <c r="D2" s="440" t="s">
        <v>112</v>
      </c>
      <c r="E2" s="440"/>
      <c r="F2" s="440"/>
      <c r="G2" s="440"/>
    </row>
    <row r="3" spans="4:11" ht="12.75">
      <c r="D3">
        <v>2002</v>
      </c>
      <c r="E3" s="3">
        <v>2003</v>
      </c>
      <c r="F3" s="3">
        <v>2004</v>
      </c>
      <c r="G3" s="3">
        <v>2005</v>
      </c>
      <c r="I3" s="43" t="s">
        <v>81</v>
      </c>
      <c r="J3" s="44" t="s">
        <v>82</v>
      </c>
      <c r="K3" s="45" t="s">
        <v>83</v>
      </c>
    </row>
    <row r="4" spans="1:11" ht="12.75">
      <c r="A4" t="s">
        <v>15</v>
      </c>
      <c r="C4" t="s">
        <v>72</v>
      </c>
      <c r="D4" s="11"/>
      <c r="E4" s="11">
        <f>(BP_App_B1!D26-BP_App_B1!C26)/BP_App_B1!C26</f>
        <v>-0.016824659426203703</v>
      </c>
      <c r="F4" s="11">
        <f>(BP_App_B1!E26-BP_App_B1!D26)/BP_App_B1!D26</f>
        <v>-0.021880254560160097</v>
      </c>
      <c r="G4" s="11">
        <f>(BP_App_B1!F26-BP_App_B1!E26)/BP_App_B1!E26</f>
        <v>0.01618975084321611</v>
      </c>
      <c r="I4" s="14">
        <f>AVERAGE(E4:G4)</f>
        <v>-0.007505054381049231</v>
      </c>
      <c r="J4" s="18">
        <f>MIN(D4:G4)</f>
        <v>-0.021880254560160097</v>
      </c>
      <c r="K4" s="15">
        <f>MAX(D4:G4)</f>
        <v>0.01618975084321611</v>
      </c>
    </row>
    <row r="5" spans="1:11" ht="12.75">
      <c r="A5" t="s">
        <v>17</v>
      </c>
      <c r="C5" t="s">
        <v>84</v>
      </c>
      <c r="D5" s="11">
        <f>BP_App_B1!C30/BP_App_B1!C26</f>
        <v>0.5052838638123339</v>
      </c>
      <c r="E5" s="11">
        <f>BP_App_B1!D30/BP_App_B1!D26</f>
        <v>0.5083753698146137</v>
      </c>
      <c r="F5" s="11">
        <f>BP_App_B1!E30/BP_App_B1!E26</f>
        <v>0.5251876836035252</v>
      </c>
      <c r="G5" s="11">
        <f>BP_App_B1!F30/BP_App_B1!F26</f>
        <v>0.5332341163622348</v>
      </c>
      <c r="I5" s="16">
        <f>AVERAGE(D5:G5)</f>
        <v>0.5180202583981769</v>
      </c>
      <c r="J5" s="19">
        <f aca="true" t="shared" si="0" ref="J5:J17">MIN(D5:G5)</f>
        <v>0.5052838638123339</v>
      </c>
      <c r="K5" s="17">
        <f aca="true" t="shared" si="1" ref="K5:K14">MAX(D5:G5)</f>
        <v>0.5332341163622348</v>
      </c>
    </row>
    <row r="6" spans="1:11" ht="12.75">
      <c r="A6" t="s">
        <v>16</v>
      </c>
      <c r="C6" t="s">
        <v>85</v>
      </c>
      <c r="D6" s="11">
        <f>BP_App_B1!C29/BP_App_B1!C51</f>
        <v>0.10655301012253596</v>
      </c>
      <c r="E6" s="11">
        <f>BP_App_B1!D29/BP_App_B1!D51</f>
        <v>0.08886971527178603</v>
      </c>
      <c r="F6" s="11">
        <f>BP_App_B1!E29/BP_App_B1!E51</f>
        <v>0.07062054534754464</v>
      </c>
      <c r="G6" s="11">
        <f>BP_App_B1!F29/BP_App_B1!F51</f>
        <v>0.06691493594902331</v>
      </c>
      <c r="I6" s="16">
        <f aca="true" t="shared" si="2" ref="I6:I17">AVERAGE(D6:G6)</f>
        <v>0.08323955167272248</v>
      </c>
      <c r="J6" s="19">
        <f t="shared" si="0"/>
        <v>0.06691493594902331</v>
      </c>
      <c r="K6" s="17">
        <f t="shared" si="1"/>
        <v>0.10655301012253596</v>
      </c>
    </row>
    <row r="7" spans="1:11" ht="12.75">
      <c r="A7" t="s">
        <v>18</v>
      </c>
      <c r="C7" t="s">
        <v>86</v>
      </c>
      <c r="D7" s="11">
        <f>BP_App_B1!C33/BP_App_B1!C26</f>
        <v>0.15918555255613454</v>
      </c>
      <c r="E7" s="11">
        <f>BP_App_B1!D33/BP_App_B1!D26</f>
        <v>0.1673796905263606</v>
      </c>
      <c r="F7" s="11">
        <f>BP_App_B1!E33/BP_App_B1!E26</f>
        <v>0.14895005984114895</v>
      </c>
      <c r="G7" s="11">
        <f>BP_App_B1!F33/BP_App_B1!F26</f>
        <v>0.1458275337801666</v>
      </c>
      <c r="I7" s="16">
        <f t="shared" si="2"/>
        <v>0.15533570917595269</v>
      </c>
      <c r="J7" s="19">
        <f t="shared" si="0"/>
        <v>0.1458275337801666</v>
      </c>
      <c r="K7" s="17">
        <f t="shared" si="1"/>
        <v>0.1673796905263606</v>
      </c>
    </row>
    <row r="8" spans="1:11" ht="12.75">
      <c r="A8" t="s">
        <v>19</v>
      </c>
      <c r="C8" t="s">
        <v>87</v>
      </c>
      <c r="D8" s="11">
        <f>BP_App_B1!C34/BP_App_B1!C26</f>
        <v>0.16318245547952373</v>
      </c>
      <c r="E8" s="11">
        <f>BP_App_B1!D34/BP_App_B1!D26</f>
        <v>0.1835770385032884</v>
      </c>
      <c r="F8" s="11">
        <f>BP_App_B1!E34/BP_App_B1!E26</f>
        <v>0.18885866608638885</v>
      </c>
      <c r="G8" s="11">
        <f>BP_App_B1!F34/BP_App_B1!F26</f>
        <v>0.1944367117068888</v>
      </c>
      <c r="I8" s="16">
        <f t="shared" si="2"/>
        <v>0.18251371794402244</v>
      </c>
      <c r="J8" s="19">
        <f t="shared" si="0"/>
        <v>0.16318245547952373</v>
      </c>
      <c r="K8" s="17">
        <f t="shared" si="1"/>
        <v>0.1944367117068888</v>
      </c>
    </row>
    <row r="9" spans="1:11" ht="12.75">
      <c r="A9" t="s">
        <v>20</v>
      </c>
      <c r="C9" t="s">
        <v>88</v>
      </c>
      <c r="D9" s="11">
        <v>0.03</v>
      </c>
      <c r="E9" s="11">
        <v>0.035</v>
      </c>
      <c r="F9" s="11">
        <v>0.04</v>
      </c>
      <c r="G9" s="11">
        <v>0.05</v>
      </c>
      <c r="I9" s="16">
        <f t="shared" si="2"/>
        <v>0.03875000000000001</v>
      </c>
      <c r="J9" s="19">
        <f t="shared" si="0"/>
        <v>0.03</v>
      </c>
      <c r="K9" s="17">
        <f t="shared" si="1"/>
        <v>0.05</v>
      </c>
    </row>
    <row r="10" spans="1:11" ht="12.75">
      <c r="A10" t="s">
        <v>21</v>
      </c>
      <c r="C10" t="s">
        <v>89</v>
      </c>
      <c r="D10" s="11">
        <v>0.06</v>
      </c>
      <c r="E10" s="11">
        <v>0.056</v>
      </c>
      <c r="F10" s="11">
        <v>0.055</v>
      </c>
      <c r="G10" s="11">
        <v>0.067</v>
      </c>
      <c r="I10" s="16">
        <f t="shared" si="2"/>
        <v>0.0595</v>
      </c>
      <c r="J10" s="19">
        <f t="shared" si="0"/>
        <v>0.055</v>
      </c>
      <c r="K10" s="17">
        <f t="shared" si="1"/>
        <v>0.067</v>
      </c>
    </row>
    <row r="11" spans="1:11" ht="12.75">
      <c r="A11" t="s">
        <v>90</v>
      </c>
      <c r="C11" t="s">
        <v>91</v>
      </c>
      <c r="D11" s="11">
        <f>BP_App_B1!C68</f>
        <v>0.2864486648579181</v>
      </c>
      <c r="E11" s="11">
        <f>BP_App_B1!D68</f>
        <v>0.26002381897578397</v>
      </c>
      <c r="F11" s="11">
        <f>BP_App_B1!E68</f>
        <v>0.1368867715488589</v>
      </c>
      <c r="G11" s="11">
        <f>BP_App_B1!F68</f>
        <v>0.1364966028412602</v>
      </c>
      <c r="I11" s="16">
        <f t="shared" si="2"/>
        <v>0.20496396455595528</v>
      </c>
      <c r="J11" s="19">
        <f t="shared" si="0"/>
        <v>0.1364966028412602</v>
      </c>
      <c r="K11" s="17">
        <f t="shared" si="1"/>
        <v>0.2864486648579181</v>
      </c>
    </row>
    <row r="12" spans="1:11" ht="12.75">
      <c r="A12" t="s">
        <v>23</v>
      </c>
      <c r="C12" t="s">
        <v>92</v>
      </c>
      <c r="D12" s="11">
        <f>BP_App_B1!C54/BP_App_B1!C26</f>
        <v>0.17820746228053658</v>
      </c>
      <c r="E12" s="11">
        <f>BP_App_B1!D54/BP_App_B1!D26</f>
        <v>0.38705489219504924</v>
      </c>
      <c r="F12" s="11">
        <f>BP_App_B1!E54/BP_App_B1!E26</f>
        <v>0.4563812425198564</v>
      </c>
      <c r="G12" s="11">
        <f>BP_App_B1!F54/BP_App_B1!F26</f>
        <v>0.40988029722263863</v>
      </c>
      <c r="I12" s="16">
        <f t="shared" si="2"/>
        <v>0.3578809735545202</v>
      </c>
      <c r="J12" s="19">
        <f t="shared" si="0"/>
        <v>0.17820746228053658</v>
      </c>
      <c r="K12" s="17">
        <f t="shared" si="1"/>
        <v>0.4563812425198564</v>
      </c>
    </row>
    <row r="13" spans="1:11" ht="12.75">
      <c r="A13" t="s">
        <v>24</v>
      </c>
      <c r="C13" t="s">
        <v>93</v>
      </c>
      <c r="D13" s="11">
        <f>BP_App_B1!C51/BP_App_B1!C26</f>
        <v>0.19639232427229164</v>
      </c>
      <c r="E13" s="11">
        <f>BP_App_B1!D51/BP_App_B1!D26</f>
        <v>0.2466849711597812</v>
      </c>
      <c r="F13" s="11">
        <f>BP_App_B1!E51/BP_App_B1!E26</f>
        <v>0.24958655206179955</v>
      </c>
      <c r="G13" s="11">
        <f>BP_App_B1!F51/BP_App_B1!F26</f>
        <v>0.24001070686738477</v>
      </c>
      <c r="I13" s="16">
        <f t="shared" si="2"/>
        <v>0.2331686385903143</v>
      </c>
      <c r="J13" s="19">
        <f t="shared" si="0"/>
        <v>0.19639232427229164</v>
      </c>
      <c r="K13" s="17">
        <f t="shared" si="1"/>
        <v>0.24958655206179955</v>
      </c>
    </row>
    <row r="14" spans="1:11" ht="12.75">
      <c r="A14" t="s">
        <v>80</v>
      </c>
      <c r="C14" t="s">
        <v>94</v>
      </c>
      <c r="D14" s="11">
        <f>BP_App_B1!C47/BP_App_B1!C26</f>
        <v>0.1454370435474083</v>
      </c>
      <c r="E14" s="11">
        <f>BP_App_B1!D47/BP_App_B1!D26</f>
        <v>0.04522912542834642</v>
      </c>
      <c r="F14" s="11">
        <f>BP_App_B1!E47/BP_App_B1!E26</f>
        <v>0.053835273637253836</v>
      </c>
      <c r="G14" s="11">
        <f>BP_App_B1!F47/BP_App_B1!F26</f>
        <v>0.04976551960427419</v>
      </c>
      <c r="I14" s="16">
        <f t="shared" si="2"/>
        <v>0.07356674055432068</v>
      </c>
      <c r="J14" s="19">
        <f t="shared" si="0"/>
        <v>0.04522912542834642</v>
      </c>
      <c r="K14" s="17">
        <f t="shared" si="1"/>
        <v>0.1454370435474083</v>
      </c>
    </row>
    <row r="15" spans="1:11" ht="12.75">
      <c r="A15" t="s">
        <v>146</v>
      </c>
      <c r="C15" t="s">
        <v>95</v>
      </c>
      <c r="D15" s="11">
        <f>BP_App_B1!C48/BP_App_B1!C26</f>
        <v>0.36970305731684344</v>
      </c>
      <c r="E15" s="11">
        <f>BP_App_B1!D48/BP_App_B1!D26</f>
        <v>0.39275908307260077</v>
      </c>
      <c r="F15" s="11">
        <f>BP_App_B1!E48/BP_App_B1!E26</f>
        <v>0.3491459036013492</v>
      </c>
      <c r="G15" s="11">
        <f>BP_App_B1!F48/BP_App_B1!F26</f>
        <v>0.3252960448831881</v>
      </c>
      <c r="I15" s="16">
        <f>AVERAGE(D15:G15)</f>
        <v>0.35922602221849537</v>
      </c>
      <c r="J15" s="19">
        <f>MIN(D15:G15)</f>
        <v>0.3252960448831881</v>
      </c>
      <c r="K15" s="17">
        <f>MAX(D15:G15)</f>
        <v>0.39275908307260077</v>
      </c>
    </row>
    <row r="16" spans="1:11" ht="12.75">
      <c r="A16" t="s">
        <v>26</v>
      </c>
      <c r="C16" t="s">
        <v>111</v>
      </c>
      <c r="D16" s="11">
        <f>BP_App_B1!C56/BP_App_B1!C26</f>
        <v>0.24554795237198404</v>
      </c>
      <c r="E16" s="11">
        <f>BP_App_B1!D56/BP_App_B1!D26</f>
        <v>0.28035672477279017</v>
      </c>
      <c r="F16" s="11">
        <f>BP_App_B1!E56/BP_App_B1!E26</f>
        <v>0.34063758024154067</v>
      </c>
      <c r="G16" s="11">
        <f>BP_App_B1!F56/BP_App_B1!F26</f>
        <v>0.3217199511766848</v>
      </c>
      <c r="I16" s="16">
        <f t="shared" si="2"/>
        <v>0.2970655521407499</v>
      </c>
      <c r="J16" s="19">
        <f t="shared" si="0"/>
        <v>0.24554795237198404</v>
      </c>
      <c r="K16" s="17">
        <f>MAX(D16:G16)</f>
        <v>0.34063758024154067</v>
      </c>
    </row>
    <row r="17" spans="1:11" ht="12.75" customHeight="1">
      <c r="A17" t="s">
        <v>132</v>
      </c>
      <c r="D17" s="11">
        <f>BP_App_B1!C58/BP_App_B1!C64</f>
        <v>0.34350592251590545</v>
      </c>
      <c r="E17" s="11">
        <f>BP_App_B1!D58/BP_App_B1!D64</f>
        <v>0.4530796517252499</v>
      </c>
      <c r="F17" s="11">
        <f>BP_App_B1!E58/BP_App_B1!E64</f>
        <v>0.5007642143876095</v>
      </c>
      <c r="G17" s="11">
        <f>BP_App_B1!F58/BP_App_B1!F64</f>
        <v>0.885404789053592</v>
      </c>
      <c r="I17" s="20">
        <f t="shared" si="2"/>
        <v>0.5456886444205893</v>
      </c>
      <c r="J17" s="20">
        <f t="shared" si="0"/>
        <v>0.34350592251590545</v>
      </c>
      <c r="K17" s="20">
        <f>MAX(D17:G17)</f>
        <v>0.885404789053592</v>
      </c>
    </row>
    <row r="18" ht="18" customHeight="1">
      <c r="A18" t="s">
        <v>98</v>
      </c>
    </row>
    <row r="19" spans="1:2" ht="12.75">
      <c r="A19" t="s">
        <v>72</v>
      </c>
      <c r="B19" t="s">
        <v>446</v>
      </c>
    </row>
    <row r="20" ht="12.75">
      <c r="B20" t="s">
        <v>530</v>
      </c>
    </row>
    <row r="21" ht="12.75">
      <c r="B21" t="s">
        <v>148</v>
      </c>
    </row>
    <row r="22" spans="1:2" ht="12.75">
      <c r="A22" t="s">
        <v>84</v>
      </c>
      <c r="B22" t="s">
        <v>149</v>
      </c>
    </row>
    <row r="23" ht="12.75">
      <c r="B23" s="59" t="s">
        <v>150</v>
      </c>
    </row>
    <row r="24" ht="12.75">
      <c r="B24" s="59" t="s">
        <v>583</v>
      </c>
    </row>
    <row r="25" ht="12.75">
      <c r="B25" s="59" t="s">
        <v>531</v>
      </c>
    </row>
    <row r="26" ht="12.75">
      <c r="B26" s="59" t="s">
        <v>151</v>
      </c>
    </row>
    <row r="27" spans="1:2" ht="12.75">
      <c r="A27" t="s">
        <v>85</v>
      </c>
      <c r="B27" t="s">
        <v>584</v>
      </c>
    </row>
    <row r="28" spans="1:2" ht="12.75">
      <c r="A28" t="s">
        <v>86</v>
      </c>
      <c r="B28" t="s">
        <v>152</v>
      </c>
    </row>
    <row r="29" spans="1:2" ht="12.75">
      <c r="A29" t="s">
        <v>87</v>
      </c>
      <c r="B29" t="s">
        <v>596</v>
      </c>
    </row>
    <row r="30" ht="12.75">
      <c r="B30" t="s">
        <v>153</v>
      </c>
    </row>
    <row r="31" ht="12.75">
      <c r="B31" s="59" t="s">
        <v>496</v>
      </c>
    </row>
    <row r="32" ht="12.75">
      <c r="B32" s="59" t="s">
        <v>585</v>
      </c>
    </row>
    <row r="33" ht="12.75">
      <c r="B33" s="59" t="s">
        <v>263</v>
      </c>
    </row>
    <row r="34" spans="1:2" ht="12.75">
      <c r="A34" t="s">
        <v>88</v>
      </c>
      <c r="B34" t="s">
        <v>497</v>
      </c>
    </row>
    <row r="35" spans="1:2" ht="12.75">
      <c r="A35" t="s">
        <v>89</v>
      </c>
      <c r="B35" t="s">
        <v>498</v>
      </c>
    </row>
    <row r="36" ht="12.75">
      <c r="B36" t="s">
        <v>557</v>
      </c>
    </row>
    <row r="37" spans="1:10" ht="12.75">
      <c r="A37" t="s">
        <v>91</v>
      </c>
      <c r="B37" t="s">
        <v>156</v>
      </c>
      <c r="J37" t="s">
        <v>597</v>
      </c>
    </row>
    <row r="38" spans="2:11" ht="12.75">
      <c r="B38" s="441" t="s">
        <v>598</v>
      </c>
      <c r="C38" s="441"/>
      <c r="D38" s="441"/>
      <c r="E38" s="441"/>
      <c r="F38" s="441"/>
      <c r="G38" s="441"/>
      <c r="H38" s="441"/>
      <c r="I38" s="441"/>
      <c r="J38" s="441"/>
      <c r="K38" s="441"/>
    </row>
    <row r="39" ht="12.75">
      <c r="B39" t="s">
        <v>157</v>
      </c>
    </row>
    <row r="40" ht="12.75">
      <c r="B40" t="s">
        <v>599</v>
      </c>
    </row>
    <row r="41" spans="1:2" ht="12.75">
      <c r="A41" t="s">
        <v>92</v>
      </c>
      <c r="B41" t="s">
        <v>499</v>
      </c>
    </row>
    <row r="42" ht="12.75">
      <c r="B42" t="s">
        <v>158</v>
      </c>
    </row>
    <row r="43" spans="1:2" ht="12.75">
      <c r="A43" t="s">
        <v>93</v>
      </c>
      <c r="B43" t="s">
        <v>159</v>
      </c>
    </row>
    <row r="44" ht="12.75">
      <c r="B44" t="s">
        <v>500</v>
      </c>
    </row>
    <row r="45" spans="1:2" ht="12.75">
      <c r="A45" t="s">
        <v>94</v>
      </c>
      <c r="B45" t="s">
        <v>160</v>
      </c>
    </row>
    <row r="46" spans="1:2" ht="12.75">
      <c r="A46" t="s">
        <v>95</v>
      </c>
      <c r="B46" t="s">
        <v>532</v>
      </c>
    </row>
    <row r="47" ht="12.75">
      <c r="B47" t="s">
        <v>264</v>
      </c>
    </row>
    <row r="48" spans="1:2" ht="12.75">
      <c r="A48" t="s">
        <v>111</v>
      </c>
      <c r="B48" t="s">
        <v>600</v>
      </c>
    </row>
    <row r="49" ht="12.75">
      <c r="B49" t="s">
        <v>533</v>
      </c>
    </row>
  </sheetData>
  <sheetProtection/>
  <mergeCells count="3">
    <mergeCell ref="D2:G2"/>
    <mergeCell ref="B1:K1"/>
    <mergeCell ref="B38:K38"/>
  </mergeCells>
  <printOptions/>
  <pageMargins left="0.75" right="0.75" top="1.09" bottom="0.55" header="0.75" footer="0.28"/>
  <pageSetup horizontalDpi="300" verticalDpi="300" orientation="landscape" scale="80" r:id="rId1"/>
  <headerFooter alignWithMargins="0">
    <oddHeader>&amp;C&amp;"Arial,Bold"&amp;14MATTEL Business Plan 2001-2005 Historical Ratios and Explanations of Assumptions&amp;"Arial,Regular"&amp;10
&amp;R&amp;UAppendix B-2</oddHeader>
    <oddFooter>&amp;LMattel Business Plan&amp;C&amp;F&amp;A&amp;R&amp;D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E43"/>
  <sheetViews>
    <sheetView zoomScalePageLayoutView="0" workbookViewId="0" topLeftCell="A1">
      <selection activeCell="Q23" sqref="Q23"/>
    </sheetView>
  </sheetViews>
  <sheetFormatPr defaultColWidth="9.140625" defaultRowHeight="12.75"/>
  <cols>
    <col min="1" max="1" width="2.8515625" style="0" customWidth="1"/>
    <col min="2" max="2" width="25.28125" style="0" customWidth="1"/>
    <col min="3" max="3" width="13.00390625" style="0" customWidth="1"/>
    <col min="4" max="6" width="10.28125" style="0" bestFit="1" customWidth="1"/>
    <col min="7" max="8" width="8.7109375" style="0" bestFit="1" customWidth="1"/>
    <col min="9" max="9" width="8.28125" style="0" bestFit="1" customWidth="1"/>
    <col min="10" max="10" width="9.28125" style="0" customWidth="1"/>
    <col min="11" max="11" width="8.28125" style="0" bestFit="1" customWidth="1"/>
    <col min="12" max="12" width="8.7109375" style="0" bestFit="1" customWidth="1"/>
    <col min="13" max="13" width="8.28125" style="0" customWidth="1"/>
    <col min="14" max="14" width="9.00390625" style="0" customWidth="1"/>
    <col min="15" max="16" width="8.00390625" style="0" customWidth="1"/>
    <col min="17" max="17" width="7.28125" style="0" customWidth="1"/>
    <col min="18" max="18" width="8.7109375" style="0" customWidth="1"/>
    <col min="19" max="19" width="7.28125" style="0" customWidth="1"/>
    <col min="20" max="20" width="8.7109375" style="0" customWidth="1"/>
    <col min="21" max="21" width="7.28125" style="0" customWidth="1"/>
    <col min="22" max="22" width="8.7109375" style="0" customWidth="1"/>
    <col min="23" max="23" width="7.28125" style="0" customWidth="1"/>
  </cols>
  <sheetData>
    <row r="1" spans="3:13" ht="12.75">
      <c r="C1" s="438" t="s">
        <v>437</v>
      </c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3" ht="12.75">
      <c r="A2" s="8" t="s">
        <v>168</v>
      </c>
      <c r="B2" s="8"/>
      <c r="C2" s="8"/>
    </row>
    <row r="3" spans="1:3" ht="12.75">
      <c r="A3" s="8" t="s">
        <v>108</v>
      </c>
      <c r="B3" s="8"/>
      <c r="C3" s="8"/>
    </row>
    <row r="5" spans="1:23" ht="14.25" customHeight="1">
      <c r="A5" s="8" t="s">
        <v>171</v>
      </c>
      <c r="C5" s="84" t="s">
        <v>169</v>
      </c>
      <c r="D5" s="442">
        <v>2006</v>
      </c>
      <c r="E5" s="443"/>
      <c r="F5" s="442">
        <v>2007</v>
      </c>
      <c r="G5" s="443"/>
      <c r="H5" s="442">
        <v>2008</v>
      </c>
      <c r="I5" s="443"/>
      <c r="J5" s="442">
        <v>2009</v>
      </c>
      <c r="K5" s="443"/>
      <c r="L5" s="442">
        <v>20010</v>
      </c>
      <c r="M5" s="443"/>
      <c r="N5" s="442">
        <v>2011</v>
      </c>
      <c r="O5" s="443"/>
      <c r="P5" s="442">
        <v>2012</v>
      </c>
      <c r="Q5" s="443"/>
      <c r="R5" s="442">
        <v>2013</v>
      </c>
      <c r="S5" s="443"/>
      <c r="T5" s="442">
        <v>2014</v>
      </c>
      <c r="U5" s="443"/>
      <c r="V5" s="442">
        <v>2015</v>
      </c>
      <c r="W5" s="443"/>
    </row>
    <row r="6" spans="1:23" ht="24.75" customHeight="1">
      <c r="A6" s="1" t="s">
        <v>107</v>
      </c>
      <c r="C6" s="85">
        <v>38717</v>
      </c>
      <c r="D6" s="87" t="s">
        <v>170</v>
      </c>
      <c r="E6" s="88" t="s">
        <v>161</v>
      </c>
      <c r="F6" s="87" t="s">
        <v>170</v>
      </c>
      <c r="G6" s="88" t="s">
        <v>161</v>
      </c>
      <c r="H6" s="87" t="s">
        <v>170</v>
      </c>
      <c r="I6" s="88" t="s">
        <v>161</v>
      </c>
      <c r="J6" s="87" t="s">
        <v>170</v>
      </c>
      <c r="K6" s="88" t="s">
        <v>161</v>
      </c>
      <c r="L6" s="87" t="s">
        <v>170</v>
      </c>
      <c r="M6" s="88" t="s">
        <v>161</v>
      </c>
      <c r="N6" s="34" t="s">
        <v>75</v>
      </c>
      <c r="O6" s="33" t="s">
        <v>74</v>
      </c>
      <c r="P6" s="34" t="s">
        <v>75</v>
      </c>
      <c r="Q6" s="33" t="s">
        <v>74</v>
      </c>
      <c r="R6" s="34" t="s">
        <v>75</v>
      </c>
      <c r="S6" s="33" t="s">
        <v>74</v>
      </c>
      <c r="T6" s="34" t="s">
        <v>75</v>
      </c>
      <c r="U6" s="33" t="s">
        <v>74</v>
      </c>
      <c r="V6" s="34" t="s">
        <v>75</v>
      </c>
      <c r="W6" s="33" t="s">
        <v>74</v>
      </c>
    </row>
    <row r="7" spans="1:23" ht="12.75">
      <c r="A7" t="s">
        <v>97</v>
      </c>
      <c r="C7" s="24">
        <f>D7+F7+H7+J7+L7</f>
        <v>690710</v>
      </c>
      <c r="D7" s="26"/>
      <c r="E7" s="27"/>
      <c r="F7" s="28">
        <v>190710</v>
      </c>
      <c r="G7" s="29">
        <v>0.055</v>
      </c>
      <c r="H7" s="28">
        <v>350000</v>
      </c>
      <c r="I7" s="29">
        <v>0.055</v>
      </c>
      <c r="J7" s="28"/>
      <c r="K7" s="29"/>
      <c r="L7" s="28">
        <v>150000</v>
      </c>
      <c r="M7" s="29">
        <v>0.055</v>
      </c>
      <c r="N7" s="28"/>
      <c r="O7" s="27"/>
      <c r="P7" s="26"/>
      <c r="Q7" s="27"/>
      <c r="R7" s="26"/>
      <c r="S7" s="27"/>
      <c r="T7" s="26"/>
      <c r="U7" s="27"/>
      <c r="V7" s="26"/>
      <c r="W7" s="27"/>
    </row>
    <row r="8" spans="1:23" ht="12.75">
      <c r="A8" t="s">
        <v>73</v>
      </c>
      <c r="C8" s="24">
        <f>D8+F8+H8+J8+L8+N8+P8+R8+T8+V8</f>
        <v>540500</v>
      </c>
      <c r="D8" s="28">
        <v>30500</v>
      </c>
      <c r="E8" s="29">
        <v>0.075</v>
      </c>
      <c r="F8" s="28">
        <v>30000</v>
      </c>
      <c r="G8" s="29">
        <v>0.075</v>
      </c>
      <c r="H8" s="28">
        <v>30000</v>
      </c>
      <c r="I8" s="29">
        <v>0.075</v>
      </c>
      <c r="J8" s="28">
        <v>50000</v>
      </c>
      <c r="K8" s="29">
        <v>0.075</v>
      </c>
      <c r="L8" s="28">
        <v>0</v>
      </c>
      <c r="M8" s="29">
        <v>0</v>
      </c>
      <c r="N8" s="28">
        <v>50000</v>
      </c>
      <c r="O8" s="29">
        <v>0.075</v>
      </c>
      <c r="P8" s="28">
        <v>50000</v>
      </c>
      <c r="Q8" s="29">
        <v>0.075</v>
      </c>
      <c r="R8" s="28">
        <v>100000</v>
      </c>
      <c r="S8" s="29">
        <v>0.075</v>
      </c>
      <c r="T8" s="28">
        <v>100000</v>
      </c>
      <c r="U8" s="29">
        <v>0.075</v>
      </c>
      <c r="V8" s="28">
        <v>100000</v>
      </c>
      <c r="W8" s="29">
        <v>0.075</v>
      </c>
    </row>
    <row r="9" spans="1:23" ht="12.75">
      <c r="A9" t="s">
        <v>76</v>
      </c>
      <c r="C9" s="24">
        <f>D9+F9+H9+J9+L9+N9+P9+R9+T9+V9</f>
        <v>42380</v>
      </c>
      <c r="D9" s="28">
        <v>694</v>
      </c>
      <c r="E9" s="29">
        <v>0.1015</v>
      </c>
      <c r="F9" s="28">
        <v>767</v>
      </c>
      <c r="G9" s="29">
        <v>0.1015</v>
      </c>
      <c r="H9" s="28">
        <v>849</v>
      </c>
      <c r="I9" s="29">
        <v>0.1015</v>
      </c>
      <c r="J9" s="28">
        <v>939</v>
      </c>
      <c r="K9" s="29">
        <v>0.1015</v>
      </c>
      <c r="L9" s="28">
        <v>39131</v>
      </c>
      <c r="M9" s="29">
        <v>0.1015</v>
      </c>
      <c r="N9" s="26"/>
      <c r="O9" s="29"/>
      <c r="P9" s="26"/>
      <c r="Q9" s="27"/>
      <c r="R9" s="26"/>
      <c r="S9" s="27"/>
      <c r="T9" s="26"/>
      <c r="U9" s="27"/>
      <c r="V9" s="26"/>
      <c r="W9" s="27"/>
    </row>
    <row r="10" spans="1:23" ht="12.75">
      <c r="A10" t="s">
        <v>102</v>
      </c>
      <c r="C10" s="25">
        <f>SUM(C7:C9)</f>
        <v>1273590</v>
      </c>
      <c r="D10" s="30">
        <f>SUM(D7:D9)</f>
        <v>31194</v>
      </c>
      <c r="E10" s="31">
        <f>(D7/D10)*E7+(D8/D10)*E8+(D9/D10)*E9</f>
        <v>0.07558956850676413</v>
      </c>
      <c r="F10" s="30">
        <f>SUM(F7:F9)</f>
        <v>221477</v>
      </c>
      <c r="G10" s="31">
        <f>(F7/F10)*G7+(F8/F10)*G8+(F9/F10)*G9</f>
        <v>0.057870119696401885</v>
      </c>
      <c r="H10" s="30">
        <f>SUM(H7:H9)</f>
        <v>380849</v>
      </c>
      <c r="I10" s="31">
        <f>(H7/H10*I7+(H8/H10)*I8+(H9/H10)*I9)</f>
        <v>0.056679086724659905</v>
      </c>
      <c r="J10" s="30">
        <f>SUM(J7:J9)</f>
        <v>50939</v>
      </c>
      <c r="K10" s="31">
        <f>(J7/J10)*K7+(J8/J10)*K8+(J9/J10)*K9</f>
        <v>0.07548849604428826</v>
      </c>
      <c r="L10" s="30">
        <f>SUM(L7:L9)</f>
        <v>189131</v>
      </c>
      <c r="M10" s="31">
        <f>(L7/L10)*M7+(L8/L10)*M8+(L9/L10)*M9</f>
        <v>0.06462079986887395</v>
      </c>
      <c r="N10" s="30">
        <f>SUM(N7:N9)</f>
        <v>50000</v>
      </c>
      <c r="O10" s="31">
        <f>(N7/N10)*O7+(N8/N10)*O8+(N9/N10)*O9</f>
        <v>0.075</v>
      </c>
      <c r="P10" s="30">
        <f>SUM(P7:P9)</f>
        <v>50000</v>
      </c>
      <c r="Q10" s="29">
        <v>0.075</v>
      </c>
      <c r="R10" s="30">
        <f>SUM(R7:R9)</f>
        <v>100000</v>
      </c>
      <c r="S10" s="29">
        <v>0.075</v>
      </c>
      <c r="T10" s="30">
        <f>SUM(T7:T9)</f>
        <v>100000</v>
      </c>
      <c r="U10" s="29">
        <v>0.075</v>
      </c>
      <c r="V10" s="30">
        <f>SUM(V7:V9)</f>
        <v>100000</v>
      </c>
      <c r="W10" s="29">
        <v>0.075</v>
      </c>
    </row>
    <row r="11" spans="2:31" ht="12.75">
      <c r="B11" s="60"/>
      <c r="C11" s="35"/>
      <c r="D11" s="32"/>
      <c r="E11" s="36"/>
      <c r="F11" s="32"/>
      <c r="G11" s="36"/>
      <c r="H11" s="32"/>
      <c r="I11" s="36"/>
      <c r="J11" s="32"/>
      <c r="K11" s="36"/>
      <c r="L11" s="32"/>
      <c r="M11" s="36"/>
      <c r="N11" s="32"/>
      <c r="O11" s="36"/>
      <c r="P11" s="32"/>
      <c r="Q11" s="36"/>
      <c r="R11" s="32"/>
      <c r="S11" s="36"/>
      <c r="T11" s="32"/>
      <c r="U11" s="36"/>
      <c r="V11" s="32"/>
      <c r="W11" s="36"/>
      <c r="X11" s="60"/>
      <c r="Y11" s="60"/>
      <c r="Z11" s="60"/>
      <c r="AA11" s="60"/>
      <c r="AB11" s="60"/>
      <c r="AC11" s="60"/>
      <c r="AD11" s="60"/>
      <c r="AE11" s="60"/>
    </row>
    <row r="12" spans="1:23" ht="12.75">
      <c r="A12" s="8" t="s">
        <v>163</v>
      </c>
      <c r="C12" s="84" t="s">
        <v>164</v>
      </c>
      <c r="D12" s="445">
        <v>2006</v>
      </c>
      <c r="E12" s="445"/>
      <c r="F12" s="442">
        <v>2007</v>
      </c>
      <c r="G12" s="443"/>
      <c r="H12" s="442">
        <v>2008</v>
      </c>
      <c r="I12" s="443"/>
      <c r="J12" s="442">
        <v>2009</v>
      </c>
      <c r="K12" s="443"/>
      <c r="L12" s="442">
        <v>2010</v>
      </c>
      <c r="M12" s="443"/>
      <c r="N12" s="442"/>
      <c r="O12" s="443"/>
      <c r="P12" s="32"/>
      <c r="Q12" s="36"/>
      <c r="R12" s="32"/>
      <c r="S12" s="36"/>
      <c r="T12" s="32"/>
      <c r="U12" s="36"/>
      <c r="V12" s="32"/>
      <c r="W12" s="36"/>
    </row>
    <row r="13" spans="1:23" ht="26.25" customHeight="1">
      <c r="A13" s="1" t="s">
        <v>107</v>
      </c>
      <c r="C13" s="85">
        <v>38718</v>
      </c>
      <c r="D13" s="86" t="s">
        <v>172</v>
      </c>
      <c r="E13" s="86" t="s">
        <v>161</v>
      </c>
      <c r="F13" s="87" t="s">
        <v>172</v>
      </c>
      <c r="G13" s="88" t="s">
        <v>161</v>
      </c>
      <c r="H13" s="87" t="s">
        <v>172</v>
      </c>
      <c r="I13" s="88" t="s">
        <v>161</v>
      </c>
      <c r="J13" s="87" t="s">
        <v>172</v>
      </c>
      <c r="K13" s="88" t="s">
        <v>161</v>
      </c>
      <c r="L13" s="87" t="s">
        <v>172</v>
      </c>
      <c r="M13" s="88" t="s">
        <v>161</v>
      </c>
      <c r="N13" s="87"/>
      <c r="O13" s="88"/>
      <c r="P13" s="32"/>
      <c r="Q13" s="36"/>
      <c r="R13" s="32"/>
      <c r="S13" s="36"/>
      <c r="T13" s="32"/>
      <c r="U13" s="36"/>
      <c r="V13" s="32"/>
      <c r="W13" s="36"/>
    </row>
    <row r="14" spans="1:23" ht="12.75">
      <c r="A14" t="s">
        <v>52</v>
      </c>
      <c r="C14" s="24">
        <f>C7</f>
        <v>690710</v>
      </c>
      <c r="D14" s="61">
        <f>C14-D7</f>
        <v>690710</v>
      </c>
      <c r="E14" s="29">
        <v>0.055</v>
      </c>
      <c r="F14" s="28">
        <f>D14-F7</f>
        <v>500000</v>
      </c>
      <c r="G14" s="29">
        <v>0.055</v>
      </c>
      <c r="H14" s="28">
        <f>F14-H7</f>
        <v>150000</v>
      </c>
      <c r="I14" s="29">
        <v>0.055</v>
      </c>
      <c r="J14" s="28">
        <f>H14-J7</f>
        <v>150000</v>
      </c>
      <c r="K14" s="29">
        <v>0.055</v>
      </c>
      <c r="L14" s="28">
        <f>J14-L7</f>
        <v>0</v>
      </c>
      <c r="M14" s="29">
        <v>0.055</v>
      </c>
      <c r="N14" s="32"/>
      <c r="O14" s="29"/>
      <c r="P14" s="32"/>
      <c r="Q14" s="36"/>
      <c r="R14" s="32"/>
      <c r="S14" s="36"/>
      <c r="T14" s="32"/>
      <c r="U14" s="36"/>
      <c r="V14" s="32"/>
      <c r="W14" s="36"/>
    </row>
    <row r="15" spans="1:23" ht="12.75">
      <c r="A15" t="s">
        <v>73</v>
      </c>
      <c r="C15" s="24">
        <f>C8</f>
        <v>540500</v>
      </c>
      <c r="D15" s="61">
        <f>C15-D8</f>
        <v>510000</v>
      </c>
      <c r="E15" s="29">
        <v>0.075</v>
      </c>
      <c r="F15" s="28">
        <f aca="true" t="shared" si="0" ref="F15:N16">D15-F8</f>
        <v>480000</v>
      </c>
      <c r="G15" s="29">
        <v>0.075</v>
      </c>
      <c r="H15" s="28">
        <f t="shared" si="0"/>
        <v>450000</v>
      </c>
      <c r="I15" s="29">
        <v>0.075</v>
      </c>
      <c r="J15" s="28">
        <f t="shared" si="0"/>
        <v>400000</v>
      </c>
      <c r="K15" s="29">
        <v>0.075</v>
      </c>
      <c r="L15" s="28">
        <f t="shared" si="0"/>
        <v>400000</v>
      </c>
      <c r="M15" s="29">
        <v>0.075</v>
      </c>
      <c r="N15" s="32"/>
      <c r="O15" s="29"/>
      <c r="P15" s="32"/>
      <c r="Q15" s="36"/>
      <c r="R15" s="32"/>
      <c r="S15" s="36"/>
      <c r="T15" s="32"/>
      <c r="U15" s="36"/>
      <c r="V15" s="32"/>
      <c r="W15" s="36"/>
    </row>
    <row r="16" spans="1:23" ht="12.75">
      <c r="A16" t="s">
        <v>76</v>
      </c>
      <c r="C16" s="24">
        <f>C9</f>
        <v>42380</v>
      </c>
      <c r="D16" s="61">
        <f>C16-D9</f>
        <v>41686</v>
      </c>
      <c r="E16" s="29">
        <v>0.1015</v>
      </c>
      <c r="F16" s="28">
        <f t="shared" si="0"/>
        <v>40919</v>
      </c>
      <c r="G16" s="29">
        <v>0.1015</v>
      </c>
      <c r="H16" s="28">
        <f t="shared" si="0"/>
        <v>40070</v>
      </c>
      <c r="I16" s="29">
        <v>0.1015</v>
      </c>
      <c r="J16" s="28">
        <f t="shared" si="0"/>
        <v>39131</v>
      </c>
      <c r="K16" s="29">
        <v>0.1015</v>
      </c>
      <c r="L16" s="28">
        <f t="shared" si="0"/>
        <v>0</v>
      </c>
      <c r="M16" s="29">
        <v>0.1015</v>
      </c>
      <c r="N16" s="28">
        <f t="shared" si="0"/>
        <v>0</v>
      </c>
      <c r="O16" s="29"/>
      <c r="P16" s="32"/>
      <c r="Q16" s="36"/>
      <c r="R16" s="32"/>
      <c r="S16" s="36"/>
      <c r="T16" s="32"/>
      <c r="U16" s="36"/>
      <c r="V16" s="32"/>
      <c r="W16" s="36"/>
    </row>
    <row r="17" spans="1:23" ht="12.75">
      <c r="A17" t="s">
        <v>165</v>
      </c>
      <c r="C17" s="25">
        <f>SUM(C14:C16)</f>
        <v>1273590</v>
      </c>
      <c r="D17" s="30">
        <f>SUM(D14:D16)</f>
        <v>1242396</v>
      </c>
      <c r="E17" s="31">
        <f>SUMPRODUCT(D14:D16,E14:E16)/SUM(D14:D16)</f>
        <v>0.06477015299469735</v>
      </c>
      <c r="F17" s="30">
        <f>SUM(F14:F16)</f>
        <v>1020919</v>
      </c>
      <c r="G17" s="31">
        <f>SUMPRODUCT(F14:F16,G14:G16)/SUM(F14:F16)</f>
        <v>0.0662670383252736</v>
      </c>
      <c r="H17" s="30">
        <f>SUM(H14:H16)</f>
        <v>640070</v>
      </c>
      <c r="I17" s="31">
        <f>SUMPRODUCT(H14:H16,I14:I16)/SUM(H14:H16)</f>
        <v>0.07197197962722827</v>
      </c>
      <c r="J17" s="30">
        <f>SUM(J14:J16)</f>
        <v>589131</v>
      </c>
      <c r="K17" s="31">
        <f>SUMPRODUCT(J14:J16,K14:K16)/SUM(J14:J16)</f>
        <v>0.07166792530014546</v>
      </c>
      <c r="L17" s="30">
        <f>SUM(L14:L16)</f>
        <v>400000</v>
      </c>
      <c r="M17" s="31">
        <f>SUMPRODUCT(L14:L16,M14:M16)/SUM(L14:L16)</f>
        <v>0.075</v>
      </c>
      <c r="N17" s="32">
        <f>SUM(N14:N16)</f>
        <v>0</v>
      </c>
      <c r="O17" s="31"/>
      <c r="P17" s="32"/>
      <c r="Q17" s="36"/>
      <c r="R17" s="32"/>
      <c r="S17" s="36"/>
      <c r="T17" s="32"/>
      <c r="U17" s="36"/>
      <c r="V17" s="32"/>
      <c r="W17" s="36"/>
    </row>
    <row r="18" spans="3:23" ht="12.75">
      <c r="C18" s="35"/>
      <c r="D18" s="32"/>
      <c r="E18" s="36"/>
      <c r="F18" s="32"/>
      <c r="G18" s="36"/>
      <c r="H18" s="32"/>
      <c r="I18" s="36"/>
      <c r="J18" s="32"/>
      <c r="K18" s="36"/>
      <c r="L18" s="32"/>
      <c r="M18" s="36"/>
      <c r="N18" s="32"/>
      <c r="O18" s="36"/>
      <c r="P18" s="32"/>
      <c r="Q18" s="36"/>
      <c r="R18" s="32"/>
      <c r="S18" s="36"/>
      <c r="T18" s="32"/>
      <c r="U18" s="36"/>
      <c r="V18" s="32"/>
      <c r="W18" s="36"/>
    </row>
    <row r="19" spans="3:23" ht="12.75">
      <c r="C19" s="35"/>
      <c r="D19" s="32"/>
      <c r="E19" s="36"/>
      <c r="F19" s="32"/>
      <c r="G19" s="36"/>
      <c r="H19" s="32"/>
      <c r="I19" s="36"/>
      <c r="J19" s="32"/>
      <c r="K19" s="36"/>
      <c r="L19" s="32"/>
      <c r="M19" s="36"/>
      <c r="N19" s="32"/>
      <c r="O19" s="36"/>
      <c r="P19" s="32"/>
      <c r="Q19" s="36"/>
      <c r="R19" s="32"/>
      <c r="S19" s="36"/>
      <c r="T19" s="32"/>
      <c r="U19" s="36"/>
      <c r="V19" s="32"/>
      <c r="W19" s="36"/>
    </row>
    <row r="20" spans="1:23" ht="12.75">
      <c r="A20" s="8" t="s">
        <v>143</v>
      </c>
      <c r="C20" s="35"/>
      <c r="D20" s="32"/>
      <c r="E20" s="36"/>
      <c r="F20" s="32"/>
      <c r="G20" s="36"/>
      <c r="H20" s="32"/>
      <c r="I20" s="36"/>
      <c r="J20" s="32"/>
      <c r="K20" s="36"/>
      <c r="L20" s="32"/>
      <c r="M20" s="36"/>
      <c r="N20" s="32"/>
      <c r="O20" s="36"/>
      <c r="P20" s="32"/>
      <c r="Q20" s="36"/>
      <c r="R20" s="32"/>
      <c r="S20" s="36"/>
      <c r="T20" s="32"/>
      <c r="U20" s="36"/>
      <c r="V20" s="32"/>
      <c r="W20" s="36"/>
    </row>
    <row r="21" spans="3:23" ht="12.75">
      <c r="C21" s="62">
        <v>2006</v>
      </c>
      <c r="D21" s="63">
        <v>2007</v>
      </c>
      <c r="E21" s="63">
        <v>2008</v>
      </c>
      <c r="F21" s="63">
        <v>2009</v>
      </c>
      <c r="G21" s="64">
        <v>2010</v>
      </c>
      <c r="H21" s="64"/>
      <c r="I21" s="36"/>
      <c r="J21" s="32"/>
      <c r="K21" s="36"/>
      <c r="L21" s="32"/>
      <c r="M21" s="36"/>
      <c r="N21" s="32"/>
      <c r="O21" s="36"/>
      <c r="P21" s="32"/>
      <c r="Q21" s="36"/>
      <c r="R21" s="32"/>
      <c r="S21" s="36"/>
      <c r="T21" s="32"/>
      <c r="U21" s="36"/>
      <c r="V21" s="32"/>
      <c r="W21" s="36"/>
    </row>
    <row r="22" spans="1:13" ht="12.75">
      <c r="A22" t="s">
        <v>161</v>
      </c>
      <c r="C22" s="65">
        <f>E17</f>
        <v>0.06477015299469735</v>
      </c>
      <c r="D22" s="36">
        <f>G17</f>
        <v>0.0662670383252736</v>
      </c>
      <c r="E22" s="36">
        <f>I17</f>
        <v>0.07197197962722827</v>
      </c>
      <c r="F22" s="36">
        <f>K17</f>
        <v>0.07166792530014546</v>
      </c>
      <c r="G22" s="29">
        <f>M17</f>
        <v>0.075</v>
      </c>
      <c r="H22" s="425"/>
      <c r="M22" s="9"/>
    </row>
    <row r="23" spans="1:13" ht="12.75">
      <c r="A23" t="s">
        <v>162</v>
      </c>
      <c r="C23" s="28">
        <v>1273590</v>
      </c>
      <c r="D23" s="66">
        <v>1242396</v>
      </c>
      <c r="E23" s="66">
        <v>1020919</v>
      </c>
      <c r="F23" s="66">
        <v>640070</v>
      </c>
      <c r="G23" s="67">
        <v>589131</v>
      </c>
      <c r="H23" s="67"/>
      <c r="M23" s="9"/>
    </row>
    <row r="24" spans="1:13" ht="12.75">
      <c r="A24" s="441" t="s">
        <v>619</v>
      </c>
      <c r="B24" s="444"/>
      <c r="C24" s="28">
        <f>C22*C23</f>
        <v>82490.61915251659</v>
      </c>
      <c r="D24" s="28">
        <f>D22*D23</f>
        <v>82329.90334716662</v>
      </c>
      <c r="E24" s="28">
        <f>E22*E23</f>
        <v>73477.56146905027</v>
      </c>
      <c r="F24" s="28">
        <f>F22*F23</f>
        <v>45872.488946864105</v>
      </c>
      <c r="G24" s="28">
        <f>G22*G23</f>
        <v>44184.825</v>
      </c>
      <c r="H24" s="28"/>
      <c r="M24" s="9"/>
    </row>
    <row r="25" spans="1:8" ht="12.75">
      <c r="A25" t="s">
        <v>166</v>
      </c>
      <c r="C25" s="28">
        <f>E41*1000</f>
        <v>700000</v>
      </c>
      <c r="D25" s="66">
        <f>C25*(1+$F$43)</f>
        <v>728000</v>
      </c>
      <c r="E25" s="66">
        <f>D25*(1+$F$43)</f>
        <v>757120</v>
      </c>
      <c r="F25" s="66">
        <f>E25*(1+$F$43)</f>
        <v>787404.8</v>
      </c>
      <c r="G25" s="67">
        <f>F25*(1+$F$43)</f>
        <v>818900.9920000001</v>
      </c>
      <c r="H25" s="426"/>
    </row>
    <row r="26" spans="1:8" ht="12.75">
      <c r="A26" t="s">
        <v>144</v>
      </c>
      <c r="C26" s="28">
        <f>C25*$E$42</f>
        <v>44380</v>
      </c>
      <c r="D26" s="66">
        <f>D25*$E$42</f>
        <v>46155.2</v>
      </c>
      <c r="E26" s="66">
        <f>E25*$E$42</f>
        <v>48001.407999999996</v>
      </c>
      <c r="F26" s="66">
        <f>F25*$E$42</f>
        <v>49921.46432</v>
      </c>
      <c r="G26" s="67">
        <f>G25*$E$42</f>
        <v>51918.3228928</v>
      </c>
      <c r="H26" s="426"/>
    </row>
    <row r="27" spans="1:8" ht="13.5" thickBot="1">
      <c r="A27" t="s">
        <v>145</v>
      </c>
      <c r="C27" s="68">
        <f aca="true" t="shared" si="1" ref="C27:H27">C24+C26</f>
        <v>126870.61915251659</v>
      </c>
      <c r="D27" s="57">
        <f t="shared" si="1"/>
        <v>128485.10334716662</v>
      </c>
      <c r="E27" s="57">
        <f t="shared" si="1"/>
        <v>121478.96946905027</v>
      </c>
      <c r="F27" s="57">
        <f t="shared" si="1"/>
        <v>95793.9532668641</v>
      </c>
      <c r="G27" s="69">
        <f t="shared" si="1"/>
        <v>96103.1478928</v>
      </c>
      <c r="H27" s="69">
        <f t="shared" si="1"/>
        <v>0</v>
      </c>
    </row>
    <row r="28" ht="13.5" thickTop="1"/>
    <row r="29" ht="12.75">
      <c r="A29" t="s">
        <v>98</v>
      </c>
    </row>
    <row r="30" spans="1:2" ht="12.75">
      <c r="A30" t="s">
        <v>72</v>
      </c>
      <c r="B30" t="s">
        <v>99</v>
      </c>
    </row>
    <row r="31" spans="2:3" ht="12.75">
      <c r="B31" t="s">
        <v>100</v>
      </c>
      <c r="C31" s="5">
        <v>190710</v>
      </c>
    </row>
    <row r="32" spans="2:3" ht="12.75">
      <c r="B32" t="s">
        <v>603</v>
      </c>
      <c r="C32" s="5">
        <v>200000</v>
      </c>
    </row>
    <row r="33" spans="2:3" ht="12.75">
      <c r="B33" t="s">
        <v>602</v>
      </c>
      <c r="C33" s="5">
        <v>150000</v>
      </c>
    </row>
    <row r="34" spans="2:3" ht="12.75">
      <c r="B34" t="s">
        <v>601</v>
      </c>
      <c r="C34" s="5">
        <v>150000</v>
      </c>
    </row>
    <row r="35" spans="2:3" ht="13.5" thickBot="1">
      <c r="B35" t="s">
        <v>101</v>
      </c>
      <c r="C35" s="23">
        <f>SUM(C31:C34)</f>
        <v>690710</v>
      </c>
    </row>
    <row r="36" ht="13.5" thickTop="1"/>
    <row r="37" spans="1:18" ht="12.75">
      <c r="A37" t="s">
        <v>103</v>
      </c>
      <c r="B37" s="441" t="s">
        <v>604</v>
      </c>
      <c r="C37" s="441"/>
      <c r="D37" s="441"/>
      <c r="E37" s="441"/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41"/>
      <c r="R37" s="441"/>
    </row>
    <row r="38" spans="2:21" ht="12.75">
      <c r="B38" s="441" t="s">
        <v>626</v>
      </c>
      <c r="C38" s="441"/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441"/>
      <c r="P38" s="441"/>
      <c r="Q38" s="441"/>
      <c r="R38" s="441"/>
      <c r="S38" s="441"/>
      <c r="T38" s="441"/>
      <c r="U38" s="441"/>
    </row>
    <row r="39" spans="1:2" ht="12.75">
      <c r="A39" t="s">
        <v>106</v>
      </c>
      <c r="B39" t="s">
        <v>501</v>
      </c>
    </row>
    <row r="40" ht="12.75">
      <c r="B40" t="s">
        <v>113</v>
      </c>
    </row>
    <row r="41" spans="2:6" ht="12.75">
      <c r="B41" t="s">
        <v>114</v>
      </c>
      <c r="C41" s="38">
        <v>0.5</v>
      </c>
      <c r="D41" s="3" t="s">
        <v>115</v>
      </c>
      <c r="E41" s="37">
        <v>700</v>
      </c>
      <c r="F41" s="12" t="s">
        <v>116</v>
      </c>
    </row>
    <row r="42" spans="2:5" ht="12.75">
      <c r="B42" t="s">
        <v>167</v>
      </c>
      <c r="E42" s="12">
        <v>0.0634</v>
      </c>
    </row>
    <row r="43" spans="2:6" ht="12.75">
      <c r="B43" t="s">
        <v>184</v>
      </c>
      <c r="F43" s="12">
        <f>BP_App_B1!G3</f>
        <v>0.04</v>
      </c>
    </row>
  </sheetData>
  <sheetProtection/>
  <mergeCells count="20">
    <mergeCell ref="T5:U5"/>
    <mergeCell ref="C1:M1"/>
    <mergeCell ref="D5:E5"/>
    <mergeCell ref="F5:G5"/>
    <mergeCell ref="H5:I5"/>
    <mergeCell ref="J5:K5"/>
    <mergeCell ref="V5:W5"/>
    <mergeCell ref="L5:M5"/>
    <mergeCell ref="N5:O5"/>
    <mergeCell ref="P5:Q5"/>
    <mergeCell ref="R5:S5"/>
    <mergeCell ref="B38:U38"/>
    <mergeCell ref="B37:R37"/>
    <mergeCell ref="N12:O12"/>
    <mergeCell ref="A24:B24"/>
    <mergeCell ref="L12:M12"/>
    <mergeCell ref="D12:E12"/>
    <mergeCell ref="F12:G12"/>
    <mergeCell ref="H12:I12"/>
    <mergeCell ref="J12:K12"/>
  </mergeCells>
  <printOptions/>
  <pageMargins left="0.53" right="0.74" top="1.49" bottom="0.55" header="0.85" footer="0.33"/>
  <pageSetup horizontalDpi="300" verticalDpi="300" orientation="landscape" scale="80" r:id="rId1"/>
  <headerFooter alignWithMargins="0">
    <oddHeader>&amp;C&amp;"Arial,Bold"&amp;14MATTEL Business Plan
2001 - 2005
Debt Maturity Schedule and Interest Payments&amp;R&amp;UAppendix B-3</oddHeader>
    <oddFooter>&amp;LMattel Business Plan&amp;C&amp;F - 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7">
      <selection activeCell="I20" sqref="I20"/>
    </sheetView>
  </sheetViews>
  <sheetFormatPr defaultColWidth="9.140625" defaultRowHeight="12.75"/>
  <cols>
    <col min="1" max="1" width="11.8515625" style="0" customWidth="1"/>
    <col min="2" max="2" width="10.140625" style="0" customWidth="1"/>
    <col min="3" max="3" width="13.421875" style="0" bestFit="1" customWidth="1"/>
    <col min="4" max="4" width="10.28125" style="0" bestFit="1" customWidth="1"/>
    <col min="5" max="5" width="10.28125" style="0" customWidth="1"/>
    <col min="6" max="6" width="12.28125" style="0" customWidth="1"/>
    <col min="7" max="7" width="12.00390625" style="0" customWidth="1"/>
    <col min="8" max="8" width="8.7109375" style="0" bestFit="1" customWidth="1"/>
    <col min="9" max="9" width="8.7109375" style="0" customWidth="1"/>
    <col min="10" max="10" width="10.140625" style="0" customWidth="1"/>
    <col min="11" max="12" width="8.7109375" style="0" bestFit="1" customWidth="1"/>
    <col min="13" max="13" width="10.28125" style="0" bestFit="1" customWidth="1"/>
  </cols>
  <sheetData>
    <row r="1" spans="1:13" ht="12.75">
      <c r="A1" s="438" t="s">
        <v>438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4" ht="12.75">
      <c r="A2" s="446" t="s">
        <v>605</v>
      </c>
      <c r="B2" s="441"/>
      <c r="C2" s="441"/>
      <c r="D2" s="441"/>
    </row>
    <row r="3" spans="1:4" ht="12.75">
      <c r="A3" t="s">
        <v>124</v>
      </c>
      <c r="D3" s="12">
        <v>0.095</v>
      </c>
    </row>
    <row r="4" spans="1:12" ht="12.75">
      <c r="A4" t="s">
        <v>125</v>
      </c>
      <c r="D4" s="12">
        <v>0.0524</v>
      </c>
      <c r="L4" s="91"/>
    </row>
    <row r="5" spans="1:4" ht="12.75">
      <c r="A5" t="s">
        <v>126</v>
      </c>
      <c r="D5" s="12">
        <v>0.0634</v>
      </c>
    </row>
    <row r="6" spans="1:12" ht="12.75">
      <c r="A6" t="s">
        <v>127</v>
      </c>
      <c r="D6" s="12">
        <v>0.064</v>
      </c>
      <c r="L6" s="12"/>
    </row>
    <row r="7" spans="1:12" ht="12.75">
      <c r="A7" t="s">
        <v>128</v>
      </c>
      <c r="D7" s="12">
        <v>0.063</v>
      </c>
      <c r="L7" s="91"/>
    </row>
    <row r="8" spans="1:4" ht="12.75">
      <c r="A8" t="s">
        <v>307</v>
      </c>
      <c r="D8" s="12">
        <v>0.0833</v>
      </c>
    </row>
    <row r="9" spans="1:4" ht="12.75">
      <c r="A9" t="s">
        <v>306</v>
      </c>
      <c r="D9" s="12">
        <v>0.5</v>
      </c>
    </row>
    <row r="12" ht="12.75">
      <c r="A12" s="8" t="s">
        <v>534</v>
      </c>
    </row>
    <row r="13" spans="1:4" ht="12.75">
      <c r="A13" t="s">
        <v>130</v>
      </c>
      <c r="D13" s="12">
        <f>D4</f>
        <v>0.0524</v>
      </c>
    </row>
    <row r="14" spans="1:5" ht="12.75">
      <c r="A14" t="s">
        <v>447</v>
      </c>
      <c r="D14" s="49">
        <v>1.4</v>
      </c>
      <c r="E14" t="s">
        <v>72</v>
      </c>
    </row>
    <row r="15" spans="1:4" ht="12.75">
      <c r="A15" s="441" t="s">
        <v>594</v>
      </c>
      <c r="B15" s="441"/>
      <c r="C15" s="441"/>
      <c r="D15" s="38">
        <v>0.5</v>
      </c>
    </row>
    <row r="16" spans="1:6" ht="12.75">
      <c r="A16" t="s">
        <v>558</v>
      </c>
      <c r="D16" s="38">
        <v>0.37</v>
      </c>
      <c r="F16" s="90"/>
    </row>
    <row r="17" spans="1:5" ht="12.75">
      <c r="A17" t="s">
        <v>559</v>
      </c>
      <c r="D17" s="48">
        <f>D14*(1+(1-D16)*D15)</f>
        <v>1.8409999999999997</v>
      </c>
      <c r="E17" s="136"/>
    </row>
    <row r="18" spans="1:4" ht="12.75">
      <c r="A18" t="s">
        <v>131</v>
      </c>
      <c r="D18" s="12">
        <v>0.055</v>
      </c>
    </row>
    <row r="19" spans="1:4" ht="12.75">
      <c r="A19" t="s">
        <v>448</v>
      </c>
      <c r="D19" s="47">
        <v>0.0833</v>
      </c>
    </row>
    <row r="20" spans="1:5" ht="12.75">
      <c r="A20" t="s">
        <v>449</v>
      </c>
      <c r="D20" s="211">
        <f>D13+(D17*D18)</f>
        <v>0.15365499999999999</v>
      </c>
      <c r="E20" s="59"/>
    </row>
    <row r="21" spans="1:4" ht="12.75">
      <c r="A21" t="s">
        <v>450</v>
      </c>
      <c r="D21" s="47">
        <f>D15*D19*(1-D16)+D20*(1-D15)</f>
        <v>0.10306699999999999</v>
      </c>
    </row>
    <row r="22" spans="1:5" ht="12.75">
      <c r="A22" t="s">
        <v>586</v>
      </c>
      <c r="D22" s="47">
        <v>0.015</v>
      </c>
      <c r="E22" t="s">
        <v>84</v>
      </c>
    </row>
    <row r="23" spans="1:4" ht="12.75">
      <c r="A23" t="s">
        <v>560</v>
      </c>
      <c r="D23" s="412">
        <f>D21+D22</f>
        <v>0.11806699999999999</v>
      </c>
    </row>
    <row r="25" ht="12.75">
      <c r="A25" s="8" t="s">
        <v>173</v>
      </c>
    </row>
    <row r="26" spans="1:4" ht="12.75">
      <c r="A26" t="s">
        <v>134</v>
      </c>
      <c r="D26" s="12">
        <v>0.0833</v>
      </c>
    </row>
    <row r="27" spans="3:13" s="1" customFormat="1" ht="12.75">
      <c r="C27" s="50">
        <v>2006</v>
      </c>
      <c r="D27" s="50">
        <v>2007</v>
      </c>
      <c r="E27" s="50">
        <v>2008</v>
      </c>
      <c r="F27" s="50">
        <v>2009</v>
      </c>
      <c r="G27" s="50">
        <v>2010</v>
      </c>
      <c r="H27" s="50">
        <v>2011</v>
      </c>
      <c r="I27" s="50">
        <v>2012</v>
      </c>
      <c r="J27" s="50">
        <v>2013</v>
      </c>
      <c r="K27" s="50">
        <v>2014</v>
      </c>
      <c r="L27" s="50">
        <v>2015</v>
      </c>
      <c r="M27" s="50" t="s">
        <v>138</v>
      </c>
    </row>
    <row r="28" spans="2:13" s="51" customFormat="1" ht="12.75">
      <c r="B28" s="55" t="s">
        <v>140</v>
      </c>
      <c r="C28" s="56">
        <f>BP_App_B3!E10</f>
        <v>0.07558956850676413</v>
      </c>
      <c r="D28" s="56">
        <f>BP_App_B3!G10</f>
        <v>0.057870119696401885</v>
      </c>
      <c r="E28" s="56">
        <f>BP_App_B3!I10</f>
        <v>0.056679086724659905</v>
      </c>
      <c r="F28" s="56">
        <f>BP_App_B3!K10</f>
        <v>0.07548849604428826</v>
      </c>
      <c r="G28" s="56">
        <f>BP_App_B3!M10</f>
        <v>0.06462079986887395</v>
      </c>
      <c r="H28" s="56">
        <f>BP_App_B3!O10</f>
        <v>0.075</v>
      </c>
      <c r="I28" s="56">
        <f>BP_App_B3!Q10</f>
        <v>0.075</v>
      </c>
      <c r="J28" s="56">
        <f>BP_App_B3!S10</f>
        <v>0.075</v>
      </c>
      <c r="K28" s="56">
        <f>BP_App_B3!U10</f>
        <v>0.075</v>
      </c>
      <c r="L28" s="56">
        <f>BP_App_B3!W10</f>
        <v>0.075</v>
      </c>
      <c r="M28" s="52"/>
    </row>
    <row r="29" spans="2:13" s="53" customFormat="1" ht="12.75">
      <c r="B29" s="55" t="s">
        <v>139</v>
      </c>
      <c r="C29" s="54">
        <f>BP_App_B3!C10</f>
        <v>1273590</v>
      </c>
      <c r="D29" s="54">
        <f>C29-C30</f>
        <v>1242396</v>
      </c>
      <c r="E29" s="54">
        <f aca="true" t="shared" si="0" ref="E29:L29">D29-D30</f>
        <v>1020919</v>
      </c>
      <c r="F29" s="54">
        <f t="shared" si="0"/>
        <v>640070</v>
      </c>
      <c r="G29" s="54">
        <f t="shared" si="0"/>
        <v>589131</v>
      </c>
      <c r="H29" s="54">
        <f t="shared" si="0"/>
        <v>400000</v>
      </c>
      <c r="I29" s="54">
        <f t="shared" si="0"/>
        <v>350000</v>
      </c>
      <c r="J29" s="54">
        <f t="shared" si="0"/>
        <v>300000</v>
      </c>
      <c r="K29" s="54">
        <f t="shared" si="0"/>
        <v>200000</v>
      </c>
      <c r="L29" s="54">
        <f t="shared" si="0"/>
        <v>100000</v>
      </c>
      <c r="M29" s="54">
        <f>L29-L30</f>
        <v>0</v>
      </c>
    </row>
    <row r="30" spans="1:13" ht="12.75">
      <c r="A30" t="s">
        <v>137</v>
      </c>
      <c r="B30" s="55" t="s">
        <v>135</v>
      </c>
      <c r="C30" s="5">
        <f>BP_App_B3!D10</f>
        <v>31194</v>
      </c>
      <c r="D30" s="5">
        <f>BP_App_B3!F10</f>
        <v>221477</v>
      </c>
      <c r="E30" s="5">
        <f>BP_App_B3!H10</f>
        <v>380849</v>
      </c>
      <c r="F30" s="5">
        <f>BP_App_B3!J10</f>
        <v>50939</v>
      </c>
      <c r="G30" s="5">
        <f>BP_App_B3!L10</f>
        <v>189131</v>
      </c>
      <c r="H30" s="5">
        <f>BP_App_B3!N10</f>
        <v>50000</v>
      </c>
      <c r="I30" s="5">
        <f>BP_App_B3!P10</f>
        <v>50000</v>
      </c>
      <c r="J30" s="5">
        <f>BP_App_B3!R10</f>
        <v>100000</v>
      </c>
      <c r="K30" s="5">
        <f>BP_App_B3!T10</f>
        <v>100000</v>
      </c>
      <c r="L30" s="5">
        <f>BP_App_B3!V10</f>
        <v>100000</v>
      </c>
      <c r="M30" s="5">
        <f>SUM(C30:L30)</f>
        <v>1273590</v>
      </c>
    </row>
    <row r="31" spans="2:12" ht="12.75">
      <c r="B31" s="55" t="s">
        <v>136</v>
      </c>
      <c r="C31" s="5">
        <f aca="true" t="shared" si="1" ref="C31:L31">((C29+D29)/2)*C28</f>
        <v>95091.14805452972</v>
      </c>
      <c r="D31" s="5">
        <f t="shared" si="1"/>
        <v>65489.15498033092</v>
      </c>
      <c r="E31" s="5">
        <f t="shared" si="1"/>
        <v>47071.66978985306</v>
      </c>
      <c r="F31" s="5">
        <f t="shared" si="1"/>
        <v>46395.26741306759</v>
      </c>
      <c r="G31" s="5">
        <f t="shared" si="1"/>
        <v>31959.21819754958</v>
      </c>
      <c r="H31" s="5">
        <f t="shared" si="1"/>
        <v>28125</v>
      </c>
      <c r="I31" s="5">
        <f t="shared" si="1"/>
        <v>24375</v>
      </c>
      <c r="J31" s="5">
        <f t="shared" si="1"/>
        <v>18750</v>
      </c>
      <c r="K31" s="5">
        <f t="shared" si="1"/>
        <v>11250</v>
      </c>
      <c r="L31" s="5">
        <f t="shared" si="1"/>
        <v>3750</v>
      </c>
    </row>
    <row r="32" spans="1:12" ht="12.75">
      <c r="A32" s="441" t="s">
        <v>627</v>
      </c>
      <c r="B32" s="441"/>
      <c r="C32" s="10">
        <f>C30+C31</f>
        <v>126285.14805452972</v>
      </c>
      <c r="D32" s="10">
        <f aca="true" t="shared" si="2" ref="D32:L32">D30+D31</f>
        <v>286966.1549803309</v>
      </c>
      <c r="E32" s="10">
        <f t="shared" si="2"/>
        <v>427920.66978985304</v>
      </c>
      <c r="F32" s="10">
        <f t="shared" si="2"/>
        <v>97334.26741306759</v>
      </c>
      <c r="G32" s="10">
        <f t="shared" si="2"/>
        <v>221090.21819754958</v>
      </c>
      <c r="H32" s="10">
        <f t="shared" si="2"/>
        <v>78125</v>
      </c>
      <c r="I32" s="10">
        <f t="shared" si="2"/>
        <v>74375</v>
      </c>
      <c r="J32" s="10">
        <f t="shared" si="2"/>
        <v>118750</v>
      </c>
      <c r="K32" s="10">
        <f t="shared" si="2"/>
        <v>111250</v>
      </c>
      <c r="L32" s="10">
        <f t="shared" si="2"/>
        <v>103750</v>
      </c>
    </row>
    <row r="33" spans="1:3" ht="12.75">
      <c r="A33" t="s">
        <v>142</v>
      </c>
      <c r="C33" s="37">
        <f>NPV(D26,C32:L32)</f>
        <v>1170762.3112784508</v>
      </c>
    </row>
    <row r="36" ht="12.75">
      <c r="A36" t="s">
        <v>451</v>
      </c>
    </row>
    <row r="37" ht="12.75">
      <c r="A37" t="s">
        <v>452</v>
      </c>
    </row>
    <row r="38" ht="12.75">
      <c r="A38" t="s">
        <v>502</v>
      </c>
    </row>
    <row r="39" ht="12.75">
      <c r="A39" t="s">
        <v>454</v>
      </c>
    </row>
    <row r="40" ht="12.75">
      <c r="A40" t="s">
        <v>503</v>
      </c>
    </row>
  </sheetData>
  <sheetProtection/>
  <mergeCells count="4">
    <mergeCell ref="A1:M1"/>
    <mergeCell ref="A15:C15"/>
    <mergeCell ref="A2:D2"/>
    <mergeCell ref="A32:B32"/>
  </mergeCells>
  <printOptions/>
  <pageMargins left="0.75" right="0.75" top="1.95" bottom="0.91" header="1.2" footer="0.5"/>
  <pageSetup horizontalDpi="300" verticalDpi="300" orientation="landscape" scale="80" r:id="rId1"/>
  <headerFooter alignWithMargins="0">
    <oddHeader>&amp;C&amp;"Arial,Bold"&amp;14
MATTEL Business Plan 2001 - 2005
Supplemental Financial Data&amp;R&amp;UAppendix B-4</oddHeader>
    <oddFooter>&amp;LMattel Business Plan&amp;C&amp;F - 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Y164"/>
  <sheetViews>
    <sheetView zoomScalePageLayoutView="0" workbookViewId="0" topLeftCell="A1">
      <pane xSplit="1" ySplit="2" topLeftCell="B13" activePane="bottomRight" state="frozen"/>
      <selection pane="topLeft" activeCell="C31" sqref="C31"/>
      <selection pane="topRight" activeCell="C31" sqref="C31"/>
      <selection pane="bottomLeft" activeCell="C31" sqref="C31"/>
      <selection pane="bottomRight" activeCell="H41" sqref="H41"/>
    </sheetView>
  </sheetViews>
  <sheetFormatPr defaultColWidth="9.140625" defaultRowHeight="12.75"/>
  <cols>
    <col min="1" max="1" width="31.421875" style="0" customWidth="1"/>
    <col min="2" max="2" width="4.140625" style="0" customWidth="1"/>
    <col min="3" max="3" width="11.7109375" style="0" customWidth="1"/>
    <col min="5" max="11" width="12.7109375" style="0" customWidth="1"/>
  </cols>
  <sheetData>
    <row r="1" spans="2:11" s="2" customFormat="1" ht="15.75">
      <c r="B1" s="4"/>
      <c r="C1" s="438" t="s">
        <v>492</v>
      </c>
      <c r="D1" s="447"/>
      <c r="E1" s="447"/>
      <c r="F1" s="447"/>
      <c r="G1" s="447"/>
      <c r="H1" s="447"/>
      <c r="I1" s="447"/>
      <c r="J1" s="447"/>
      <c r="K1" s="447"/>
    </row>
    <row r="3" spans="1:11" ht="12.75">
      <c r="A3" s="8" t="s">
        <v>595</v>
      </c>
      <c r="G3" s="13">
        <v>2006</v>
      </c>
      <c r="H3" s="13">
        <v>2007</v>
      </c>
      <c r="I3" s="13">
        <v>2008</v>
      </c>
      <c r="J3" s="13">
        <v>2009</v>
      </c>
      <c r="K3" s="13">
        <v>2010</v>
      </c>
    </row>
    <row r="4" spans="1:13" ht="12.75">
      <c r="A4" t="s">
        <v>15</v>
      </c>
      <c r="G4" s="71">
        <v>0.15</v>
      </c>
      <c r="H4" s="71">
        <v>0.15</v>
      </c>
      <c r="I4" s="71">
        <v>0.1</v>
      </c>
      <c r="J4" s="71">
        <v>0.08</v>
      </c>
      <c r="K4" s="73">
        <v>0.05</v>
      </c>
      <c r="L4" s="21"/>
      <c r="M4" s="21"/>
    </row>
    <row r="5" spans="1:13" ht="12.75">
      <c r="A5" t="s">
        <v>17</v>
      </c>
      <c r="G5" s="71">
        <v>0.602</v>
      </c>
      <c r="H5" s="71">
        <v>0.597</v>
      </c>
      <c r="I5" s="71">
        <v>0.595</v>
      </c>
      <c r="J5" s="71">
        <v>0.595</v>
      </c>
      <c r="K5" s="71">
        <v>0.595</v>
      </c>
      <c r="L5" s="21"/>
      <c r="M5" s="21"/>
    </row>
    <row r="6" spans="1:13" ht="12.75">
      <c r="A6" t="s">
        <v>16</v>
      </c>
      <c r="G6" s="71">
        <v>0.1</v>
      </c>
      <c r="H6" s="71">
        <v>0.1</v>
      </c>
      <c r="I6" s="71">
        <v>0.1</v>
      </c>
      <c r="J6" s="71">
        <v>0.1</v>
      </c>
      <c r="K6" s="71">
        <v>0.1</v>
      </c>
      <c r="L6" s="21"/>
      <c r="M6" s="21"/>
    </row>
    <row r="7" spans="1:13" ht="12.75">
      <c r="A7" t="s">
        <v>18</v>
      </c>
      <c r="G7" s="71">
        <v>0.15</v>
      </c>
      <c r="H7" s="71">
        <v>0.15</v>
      </c>
      <c r="I7" s="71">
        <v>0.15</v>
      </c>
      <c r="J7" s="71">
        <v>0.15</v>
      </c>
      <c r="K7" s="71">
        <v>0.15</v>
      </c>
      <c r="L7" s="21"/>
      <c r="M7" s="21"/>
    </row>
    <row r="8" spans="1:13" ht="12.75">
      <c r="A8" t="s">
        <v>19</v>
      </c>
      <c r="F8" s="72"/>
      <c r="G8" s="71">
        <v>0.145</v>
      </c>
      <c r="H8" s="71">
        <v>0.145</v>
      </c>
      <c r="I8" s="71">
        <v>0.141</v>
      </c>
      <c r="J8" s="71">
        <v>0.141</v>
      </c>
      <c r="K8" s="71">
        <v>0.141</v>
      </c>
      <c r="L8" s="21"/>
      <c r="M8" s="21"/>
    </row>
    <row r="9" spans="1:13" ht="12.75">
      <c r="A9" t="s">
        <v>20</v>
      </c>
      <c r="C9" t="s">
        <v>72</v>
      </c>
      <c r="F9" s="72"/>
      <c r="G9" s="71">
        <v>0.05</v>
      </c>
      <c r="H9" s="71">
        <f>G9</f>
        <v>0.05</v>
      </c>
      <c r="I9" s="71">
        <f>H9</f>
        <v>0.05</v>
      </c>
      <c r="J9" s="71">
        <f>I9</f>
        <v>0.05</v>
      </c>
      <c r="K9" s="71">
        <f>J9</f>
        <v>0.05</v>
      </c>
      <c r="L9" s="21"/>
      <c r="M9" s="21"/>
    </row>
    <row r="10" spans="1:13" ht="12.75">
      <c r="A10" t="s">
        <v>129</v>
      </c>
      <c r="F10" s="72"/>
      <c r="G10" s="71">
        <v>0.0721</v>
      </c>
      <c r="H10" s="71">
        <v>0.0721</v>
      </c>
      <c r="I10" s="71">
        <v>0.0721</v>
      </c>
      <c r="J10" s="71">
        <v>0.0721</v>
      </c>
      <c r="K10" s="71">
        <v>0.0721</v>
      </c>
      <c r="L10" s="21"/>
      <c r="M10" s="21"/>
    </row>
    <row r="11" spans="1:13" ht="12.75">
      <c r="A11" t="s">
        <v>22</v>
      </c>
      <c r="F11" s="72"/>
      <c r="G11" s="71">
        <v>0.29</v>
      </c>
      <c r="H11" s="71">
        <v>0.295</v>
      </c>
      <c r="I11" s="71">
        <v>0.3</v>
      </c>
      <c r="J11" s="71">
        <v>0.305</v>
      </c>
      <c r="K11" s="71">
        <v>0.31</v>
      </c>
      <c r="L11" s="21"/>
      <c r="M11" s="21"/>
    </row>
    <row r="12" spans="1:13" ht="12.75">
      <c r="A12" t="s">
        <v>121</v>
      </c>
      <c r="F12" s="72"/>
      <c r="G12" s="71">
        <v>0.3</v>
      </c>
      <c r="H12" s="71">
        <f>G12</f>
        <v>0.3</v>
      </c>
      <c r="I12" s="71">
        <f>H12</f>
        <v>0.3</v>
      </c>
      <c r="J12" s="71">
        <f>I12</f>
        <v>0.3</v>
      </c>
      <c r="K12" s="71">
        <f>J12</f>
        <v>0.3</v>
      </c>
      <c r="L12" s="21"/>
      <c r="M12" s="21"/>
    </row>
    <row r="13" spans="1:13" ht="12.75">
      <c r="A13" t="s">
        <v>196</v>
      </c>
      <c r="F13" s="72"/>
      <c r="G13" s="94">
        <v>5</v>
      </c>
      <c r="H13" s="94">
        <v>5</v>
      </c>
      <c r="I13" s="94">
        <v>5</v>
      </c>
      <c r="J13" s="94">
        <v>5</v>
      </c>
      <c r="K13" s="94">
        <v>5</v>
      </c>
      <c r="L13" s="21"/>
      <c r="M13" s="21"/>
    </row>
    <row r="14" spans="1:13" ht="12.75">
      <c r="A14" t="s">
        <v>24</v>
      </c>
      <c r="F14" s="72"/>
      <c r="G14" s="71">
        <v>0.12</v>
      </c>
      <c r="H14" s="71">
        <v>0.12</v>
      </c>
      <c r="I14" s="71">
        <v>0.12</v>
      </c>
      <c r="J14" s="71">
        <v>0.12</v>
      </c>
      <c r="K14" s="71">
        <v>0.12</v>
      </c>
      <c r="L14" s="21"/>
      <c r="M14" s="21"/>
    </row>
    <row r="15" spans="1:13" ht="12.75">
      <c r="A15" t="s">
        <v>25</v>
      </c>
      <c r="F15" s="72"/>
      <c r="G15" s="71">
        <v>0.06</v>
      </c>
      <c r="H15" s="71">
        <f aca="true" t="shared" si="0" ref="H15:K16">G15</f>
        <v>0.06</v>
      </c>
      <c r="I15" s="71">
        <f t="shared" si="0"/>
        <v>0.06</v>
      </c>
      <c r="J15" s="71">
        <f t="shared" si="0"/>
        <v>0.06</v>
      </c>
      <c r="K15" s="71">
        <f t="shared" si="0"/>
        <v>0.06</v>
      </c>
      <c r="L15" s="21"/>
      <c r="M15" s="21"/>
    </row>
    <row r="16" spans="1:11" ht="12.75">
      <c r="A16" t="s">
        <v>26</v>
      </c>
      <c r="F16" s="72"/>
      <c r="G16" s="71">
        <v>0.25</v>
      </c>
      <c r="H16" s="71">
        <f t="shared" si="0"/>
        <v>0.25</v>
      </c>
      <c r="I16" s="71">
        <f t="shared" si="0"/>
        <v>0.25</v>
      </c>
      <c r="J16" s="71">
        <f t="shared" si="0"/>
        <v>0.25</v>
      </c>
      <c r="K16" s="71">
        <f t="shared" si="0"/>
        <v>0.25</v>
      </c>
    </row>
    <row r="17" spans="1:11" ht="12.75">
      <c r="A17" t="s">
        <v>27</v>
      </c>
      <c r="F17" s="72"/>
      <c r="G17" s="22">
        <v>19.1</v>
      </c>
      <c r="H17" s="22">
        <f>G17</f>
        <v>19.1</v>
      </c>
      <c r="I17" s="22">
        <f>H17</f>
        <v>19.1</v>
      </c>
      <c r="J17" s="22">
        <f>I17</f>
        <v>19.1</v>
      </c>
      <c r="K17" s="22">
        <f>J17</f>
        <v>19.1</v>
      </c>
    </row>
    <row r="18" spans="1:7" ht="12.75">
      <c r="A18" t="s">
        <v>606</v>
      </c>
      <c r="C18" s="72">
        <v>0.1355</v>
      </c>
      <c r="G18" s="73"/>
    </row>
    <row r="19" spans="1:4" ht="12.75">
      <c r="A19" t="s">
        <v>453</v>
      </c>
      <c r="C19" s="72">
        <v>0.115</v>
      </c>
      <c r="D19" t="s">
        <v>85</v>
      </c>
    </row>
    <row r="20" spans="1:3" ht="12.75">
      <c r="A20" t="s">
        <v>96</v>
      </c>
      <c r="C20" s="72">
        <v>0.04</v>
      </c>
    </row>
    <row r="21" spans="1:4" ht="12.75">
      <c r="A21" t="s">
        <v>28</v>
      </c>
      <c r="C21" s="113">
        <f>AP_App_B3!C27/1000</f>
        <v>1.368808891849901</v>
      </c>
      <c r="D21" t="s">
        <v>201</v>
      </c>
    </row>
    <row r="22" spans="7:11" ht="12.75">
      <c r="G22" s="42"/>
      <c r="H22" s="42"/>
      <c r="I22" s="42"/>
      <c r="J22" s="42"/>
      <c r="K22" s="42"/>
    </row>
    <row r="24" spans="3:11" ht="12.75">
      <c r="C24" s="437" t="s">
        <v>31</v>
      </c>
      <c r="D24" s="437"/>
      <c r="E24" s="437"/>
      <c r="F24" s="437"/>
      <c r="G24" s="436" t="s">
        <v>30</v>
      </c>
      <c r="H24" s="436"/>
      <c r="I24" s="436"/>
      <c r="J24" s="436"/>
      <c r="K24" s="436"/>
    </row>
    <row r="25" spans="3:11" ht="12.75">
      <c r="C25">
        <v>2002</v>
      </c>
      <c r="D25" s="3">
        <v>2003</v>
      </c>
      <c r="E25" s="3">
        <v>2004</v>
      </c>
      <c r="F25" s="3">
        <v>2005</v>
      </c>
      <c r="G25" s="3">
        <v>2006</v>
      </c>
      <c r="H25" s="3">
        <v>2007</v>
      </c>
      <c r="I25" s="3">
        <v>2008</v>
      </c>
      <c r="J25" s="3">
        <v>2009</v>
      </c>
      <c r="K25" s="3">
        <v>2010</v>
      </c>
    </row>
    <row r="26" ht="12.75">
      <c r="A26" s="1" t="s">
        <v>29</v>
      </c>
    </row>
    <row r="27" spans="1:155" ht="12.75">
      <c r="A27" t="s">
        <v>32</v>
      </c>
      <c r="C27" s="74">
        <v>41.945</v>
      </c>
      <c r="D27" s="74">
        <v>85.253</v>
      </c>
      <c r="E27" s="74">
        <v>183.685</v>
      </c>
      <c r="F27" s="74">
        <v>252.288</v>
      </c>
      <c r="G27" s="5">
        <f>F27*(1+G4)</f>
        <v>290.1312</v>
      </c>
      <c r="H27" s="5">
        <f>G27*(1+H4)</f>
        <v>333.65088</v>
      </c>
      <c r="I27" s="5">
        <f>H27*(1+I4)</f>
        <v>367.015968</v>
      </c>
      <c r="J27" s="5">
        <f>I27*(1+J4)</f>
        <v>396.37724544</v>
      </c>
      <c r="K27" s="5">
        <f>J27*(1+K4)</f>
        <v>416.19610771200007</v>
      </c>
      <c r="L27" s="75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</row>
    <row r="28" spans="1:155" ht="12.75">
      <c r="A28" t="s">
        <v>33</v>
      </c>
      <c r="C28" s="74"/>
      <c r="D28" s="74"/>
      <c r="E28" s="74"/>
      <c r="F28" s="74"/>
      <c r="G28" s="5"/>
      <c r="H28" s="5"/>
      <c r="I28" s="5"/>
      <c r="J28" s="5"/>
      <c r="K28" s="5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</row>
    <row r="29" spans="1:155" ht="12.75">
      <c r="A29" t="s">
        <v>105</v>
      </c>
      <c r="C29" s="74">
        <f aca="true" t="shared" si="1" ref="C29:K29">C31-C30</f>
        <v>24.776</v>
      </c>
      <c r="D29" s="74">
        <f t="shared" si="1"/>
        <v>49.014</v>
      </c>
      <c r="E29" s="74">
        <f t="shared" si="1"/>
        <v>103.029</v>
      </c>
      <c r="F29" s="74">
        <f t="shared" si="1"/>
        <v>140.608</v>
      </c>
      <c r="G29" s="5">
        <f t="shared" si="1"/>
        <v>171.17740799999999</v>
      </c>
      <c r="H29" s="5">
        <f t="shared" si="1"/>
        <v>195.18576479999996</v>
      </c>
      <c r="I29" s="5">
        <f t="shared" si="1"/>
        <v>213.970309344</v>
      </c>
      <c r="J29" s="5">
        <f t="shared" si="1"/>
        <v>231.08793409152</v>
      </c>
      <c r="K29" s="5">
        <f t="shared" si="1"/>
        <v>242.64233079609605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</row>
    <row r="30" spans="1:155" ht="12.75">
      <c r="A30" t="s">
        <v>78</v>
      </c>
      <c r="C30" s="74">
        <v>1.099</v>
      </c>
      <c r="D30" s="74">
        <v>2.986</v>
      </c>
      <c r="E30" s="74">
        <v>4.571</v>
      </c>
      <c r="F30" s="74">
        <v>9.272</v>
      </c>
      <c r="G30" s="5">
        <f>G6*G52</f>
        <v>3.4815743999999995</v>
      </c>
      <c r="H30" s="5">
        <f>H6*H52</f>
        <v>4.00381056</v>
      </c>
      <c r="I30" s="5">
        <f>I6*I52</f>
        <v>4.404191616</v>
      </c>
      <c r="J30" s="5">
        <f>J6*J52</f>
        <v>4.75652694528</v>
      </c>
      <c r="K30" s="5">
        <f>K6*K52</f>
        <v>4.994353292544002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</row>
    <row r="31" spans="1:155" ht="12.75">
      <c r="A31" t="s">
        <v>34</v>
      </c>
      <c r="C31" s="74">
        <v>25.875</v>
      </c>
      <c r="D31" s="74">
        <v>52</v>
      </c>
      <c r="E31" s="74">
        <v>107.6</v>
      </c>
      <c r="F31" s="74">
        <v>149.88</v>
      </c>
      <c r="G31" s="5">
        <f>G27*G5</f>
        <v>174.65898239999999</v>
      </c>
      <c r="H31" s="5">
        <f>H27*H5</f>
        <v>199.18957535999996</v>
      </c>
      <c r="I31" s="5">
        <f>I27*I5</f>
        <v>218.37450095999998</v>
      </c>
      <c r="J31" s="5">
        <f>J27*J5</f>
        <v>235.8444610368</v>
      </c>
      <c r="K31" s="5">
        <f>K27*K5</f>
        <v>247.63668408864004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</row>
    <row r="32" spans="1:155" ht="12.75">
      <c r="A32" t="s">
        <v>35</v>
      </c>
      <c r="C32" s="74">
        <f aca="true" t="shared" si="2" ref="C32:K32">C27-C31</f>
        <v>16.07</v>
      </c>
      <c r="D32" s="74">
        <f t="shared" si="2"/>
        <v>33.253</v>
      </c>
      <c r="E32" s="74">
        <f t="shared" si="2"/>
        <v>76.08500000000001</v>
      </c>
      <c r="F32" s="74">
        <f t="shared" si="2"/>
        <v>102.40800000000002</v>
      </c>
      <c r="G32" s="5">
        <f t="shared" si="2"/>
        <v>115.4722176</v>
      </c>
      <c r="H32" s="5">
        <f t="shared" si="2"/>
        <v>134.46130464</v>
      </c>
      <c r="I32" s="5">
        <f t="shared" si="2"/>
        <v>148.64146704</v>
      </c>
      <c r="J32" s="5">
        <f t="shared" si="2"/>
        <v>160.53278440320003</v>
      </c>
      <c r="K32" s="5">
        <f t="shared" si="2"/>
        <v>168.55942362336003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</row>
    <row r="33" spans="1:155" ht="12.75">
      <c r="A33" t="s">
        <v>33</v>
      </c>
      <c r="C33" s="74"/>
      <c r="D33" s="74"/>
      <c r="E33" s="74"/>
      <c r="F33" s="74"/>
      <c r="G33" s="5"/>
      <c r="H33" s="5"/>
      <c r="I33" s="5"/>
      <c r="J33" s="5"/>
      <c r="K33" s="5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</row>
    <row r="34" spans="1:155" ht="12.75">
      <c r="A34" t="s">
        <v>36</v>
      </c>
      <c r="C34" s="95">
        <f>6.29+0.01</f>
        <v>6.3</v>
      </c>
      <c r="D34" s="76">
        <v>12.75</v>
      </c>
      <c r="E34" s="74">
        <v>27.6</v>
      </c>
      <c r="F34" s="74">
        <v>37.8</v>
      </c>
      <c r="G34" s="5">
        <f>G27*G7</f>
        <v>43.519679999999994</v>
      </c>
      <c r="H34" s="5">
        <f>H27*H7</f>
        <v>50.04763199999999</v>
      </c>
      <c r="I34" s="5">
        <f>I27*I7</f>
        <v>55.0523952</v>
      </c>
      <c r="J34" s="5">
        <f>J27*J7</f>
        <v>59.456586816</v>
      </c>
      <c r="K34" s="5">
        <f>K27*K7</f>
        <v>62.42941615680001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</row>
    <row r="35" spans="1:155" ht="12.75">
      <c r="A35" t="s">
        <v>37</v>
      </c>
      <c r="C35" s="77">
        <v>5.595</v>
      </c>
      <c r="D35" s="74">
        <v>11.257</v>
      </c>
      <c r="E35" s="74">
        <v>23.554</v>
      </c>
      <c r="F35" s="74">
        <v>42.635</v>
      </c>
      <c r="G35" s="5">
        <f>G27*G8</f>
        <v>42.06902399999999</v>
      </c>
      <c r="H35" s="5">
        <f>H27*H8</f>
        <v>48.37937759999999</v>
      </c>
      <c r="I35" s="5">
        <f>I27*I8</f>
        <v>51.74925148799999</v>
      </c>
      <c r="J35" s="5">
        <f>J27*J8</f>
        <v>55.88919160704</v>
      </c>
      <c r="K35" s="5">
        <f>K27*K8</f>
        <v>58.683651187392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</row>
    <row r="36" spans="1:155" ht="12.75">
      <c r="A36" t="s">
        <v>104</v>
      </c>
      <c r="C36" s="74">
        <v>0</v>
      </c>
      <c r="D36" s="74">
        <v>0</v>
      </c>
      <c r="E36" s="74">
        <v>0</v>
      </c>
      <c r="F36" s="74">
        <v>0</v>
      </c>
      <c r="G36" s="5">
        <f>F36</f>
        <v>0</v>
      </c>
      <c r="H36" s="5">
        <f>G36</f>
        <v>0</v>
      </c>
      <c r="I36" s="5">
        <f>H36</f>
        <v>0</v>
      </c>
      <c r="J36" s="5">
        <f>I36</f>
        <v>0</v>
      </c>
      <c r="K36" s="5">
        <f>J36</f>
        <v>0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</row>
    <row r="37" spans="1:155" ht="12.75">
      <c r="A37" t="s">
        <v>185</v>
      </c>
      <c r="C37" s="74">
        <v>0.328</v>
      </c>
      <c r="D37" s="74">
        <v>0.591</v>
      </c>
      <c r="E37" s="74">
        <f>-0.182-3.605</f>
        <v>-3.787</v>
      </c>
      <c r="F37" s="74">
        <f>1.469-0.092-15.906</f>
        <v>-14.529</v>
      </c>
      <c r="G37" s="5">
        <f>-15.906</f>
        <v>-15.906</v>
      </c>
      <c r="H37" s="5">
        <f>G37</f>
        <v>-15.906</v>
      </c>
      <c r="I37" s="5">
        <f>H37</f>
        <v>-15.906</v>
      </c>
      <c r="J37" s="5">
        <f>I37</f>
        <v>-15.906</v>
      </c>
      <c r="K37" s="5">
        <f>J37</f>
        <v>-15.906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</row>
    <row r="38" spans="1:155" ht="12.75">
      <c r="A38" t="s">
        <v>38</v>
      </c>
      <c r="C38" s="74">
        <f aca="true" t="shared" si="3" ref="C38:K38">SUM(C34:C37)</f>
        <v>12.222999999999999</v>
      </c>
      <c r="D38" s="74">
        <f t="shared" si="3"/>
        <v>24.598</v>
      </c>
      <c r="E38" s="74">
        <f t="shared" si="3"/>
        <v>47.367</v>
      </c>
      <c r="F38" s="74">
        <f t="shared" si="3"/>
        <v>65.906</v>
      </c>
      <c r="G38" s="5">
        <f t="shared" si="3"/>
        <v>69.68270399999997</v>
      </c>
      <c r="H38" s="5">
        <f t="shared" si="3"/>
        <v>82.52100959999999</v>
      </c>
      <c r="I38" s="5">
        <f t="shared" si="3"/>
        <v>90.89564668799999</v>
      </c>
      <c r="J38" s="5">
        <f t="shared" si="3"/>
        <v>99.43977842304</v>
      </c>
      <c r="K38" s="5">
        <f t="shared" si="3"/>
        <v>105.20706734419201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</row>
    <row r="39" spans="1:155" ht="12.75">
      <c r="A39" t="s">
        <v>39</v>
      </c>
      <c r="C39" s="74">
        <f aca="true" t="shared" si="4" ref="C39:K39">C32-C38</f>
        <v>3.8470000000000013</v>
      </c>
      <c r="D39" s="74">
        <f t="shared" si="4"/>
        <v>8.655000000000001</v>
      </c>
      <c r="E39" s="74">
        <f t="shared" si="4"/>
        <v>28.71800000000001</v>
      </c>
      <c r="F39" s="74">
        <f t="shared" si="4"/>
        <v>36.50200000000001</v>
      </c>
      <c r="G39" s="5">
        <f t="shared" si="4"/>
        <v>45.78951360000002</v>
      </c>
      <c r="H39" s="5">
        <f t="shared" si="4"/>
        <v>51.940295040000024</v>
      </c>
      <c r="I39" s="5">
        <f t="shared" si="4"/>
        <v>57.745820352000024</v>
      </c>
      <c r="J39" s="5">
        <f t="shared" si="4"/>
        <v>61.09300598016003</v>
      </c>
      <c r="K39" s="5">
        <f t="shared" si="4"/>
        <v>63.35235627916802</v>
      </c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</row>
    <row r="40" spans="1:155" ht="12.75">
      <c r="A40" t="s">
        <v>40</v>
      </c>
      <c r="C40" s="74">
        <v>0</v>
      </c>
      <c r="D40" s="74">
        <v>0</v>
      </c>
      <c r="E40" s="74">
        <v>1.588</v>
      </c>
      <c r="F40" s="74">
        <v>3.833</v>
      </c>
      <c r="G40" s="5">
        <f>G9*(G48+G51)</f>
        <v>5.640781755106275</v>
      </c>
      <c r="H40" s="5">
        <f>H9*(H48+H51)</f>
        <v>7.817904019970226</v>
      </c>
      <c r="I40" s="5">
        <f>I9*(I48+I51)</f>
        <v>10.377364627036503</v>
      </c>
      <c r="J40" s="5">
        <f>J9*(J48+J51)</f>
        <v>13.184983398467821</v>
      </c>
      <c r="K40" s="5">
        <f>K9*(K48+K51)</f>
        <v>16.258535410268582</v>
      </c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</row>
    <row r="41" spans="1:155" ht="12.75">
      <c r="A41" t="s">
        <v>41</v>
      </c>
      <c r="C41" s="74">
        <v>0.418</v>
      </c>
      <c r="D41" s="74">
        <v>0.423</v>
      </c>
      <c r="E41" s="76">
        <v>0</v>
      </c>
      <c r="F41" s="74">
        <v>0</v>
      </c>
      <c r="G41" s="5">
        <f>AP_App_B3!C25/1000</f>
        <v>0.093</v>
      </c>
      <c r="H41" s="5">
        <f>AP_App_B3!D25/1000</f>
        <v>0.062</v>
      </c>
      <c r="I41" s="5">
        <f>AP_App_B3!E25/1000</f>
        <v>0.031</v>
      </c>
      <c r="J41" s="5">
        <f>AP_App_B3!F25/1000</f>
        <v>0.00775</v>
      </c>
      <c r="K41" s="5">
        <f>AP_App_B3!G25/1000</f>
        <v>0</v>
      </c>
      <c r="L41" s="5"/>
      <c r="M41" s="5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</row>
    <row r="42" spans="1:155" ht="12.75">
      <c r="A42" t="s">
        <v>42</v>
      </c>
      <c r="C42" s="74">
        <f aca="true" t="shared" si="5" ref="C42:K42">C39+C40-C41</f>
        <v>3.429000000000001</v>
      </c>
      <c r="D42" s="74">
        <f t="shared" si="5"/>
        <v>8.232000000000001</v>
      </c>
      <c r="E42" s="74">
        <f t="shared" si="5"/>
        <v>30.30600000000001</v>
      </c>
      <c r="F42" s="74">
        <f t="shared" si="5"/>
        <v>40.33500000000001</v>
      </c>
      <c r="G42" s="5">
        <f t="shared" si="5"/>
        <v>51.33729535510629</v>
      </c>
      <c r="H42" s="5">
        <f t="shared" si="5"/>
        <v>59.696199059970255</v>
      </c>
      <c r="I42" s="5">
        <f t="shared" si="5"/>
        <v>68.09218497903652</v>
      </c>
      <c r="J42" s="5">
        <f t="shared" si="5"/>
        <v>74.27023937862785</v>
      </c>
      <c r="K42" s="5">
        <f t="shared" si="5"/>
        <v>79.6108916894366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</row>
    <row r="43" spans="1:155" ht="12.75">
      <c r="A43" t="s">
        <v>43</v>
      </c>
      <c r="C43" s="74">
        <v>0.643</v>
      </c>
      <c r="D43" s="74">
        <v>1.857</v>
      </c>
      <c r="E43" s="74">
        <v>8.334</v>
      </c>
      <c r="F43" s="74">
        <v>11.697</v>
      </c>
      <c r="G43" s="5">
        <f>G42*G11</f>
        <v>14.887815652980823</v>
      </c>
      <c r="H43" s="5">
        <f>H42*H11</f>
        <v>17.610378722691223</v>
      </c>
      <c r="I43" s="5">
        <f>I42*I11</f>
        <v>20.427655493710954</v>
      </c>
      <c r="J43" s="5">
        <f>J42*J11</f>
        <v>22.652423010481492</v>
      </c>
      <c r="K43" s="5">
        <f>K42*K11</f>
        <v>24.679376423725344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</row>
    <row r="44" spans="1:155" ht="12.75">
      <c r="A44" t="s">
        <v>44</v>
      </c>
      <c r="C44" s="78">
        <f aca="true" t="shared" si="6" ref="C44:K44">C42-C43</f>
        <v>2.7860000000000014</v>
      </c>
      <c r="D44" s="74">
        <f t="shared" si="6"/>
        <v>6.375000000000001</v>
      </c>
      <c r="E44" s="74">
        <f t="shared" si="6"/>
        <v>21.972000000000012</v>
      </c>
      <c r="F44" s="74">
        <f t="shared" si="6"/>
        <v>28.63800000000001</v>
      </c>
      <c r="G44" s="5">
        <f t="shared" si="6"/>
        <v>36.44947970212547</v>
      </c>
      <c r="H44" s="5">
        <f t="shared" si="6"/>
        <v>42.08582033727903</v>
      </c>
      <c r="I44" s="5">
        <f t="shared" si="6"/>
        <v>47.66452948532556</v>
      </c>
      <c r="J44" s="5">
        <f t="shared" si="6"/>
        <v>51.61781636814636</v>
      </c>
      <c r="K44" s="5">
        <f t="shared" si="6"/>
        <v>54.931515265711255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</row>
    <row r="45" spans="4:155" ht="12.75">
      <c r="D45" s="74"/>
      <c r="E45" s="74"/>
      <c r="F45" s="74"/>
      <c r="G45" s="5"/>
      <c r="H45" s="5"/>
      <c r="I45" s="5"/>
      <c r="J45" s="5"/>
      <c r="K45" s="5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</row>
    <row r="46" spans="1:155" ht="12.75">
      <c r="A46" s="1" t="s">
        <v>45</v>
      </c>
      <c r="G46" s="5"/>
      <c r="H46" s="5"/>
      <c r="I46" s="5"/>
      <c r="J46" s="5"/>
      <c r="K46" s="5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</row>
    <row r="47" spans="1:155" ht="12.75">
      <c r="A47" t="s">
        <v>46</v>
      </c>
      <c r="C47" s="12"/>
      <c r="D47" s="12"/>
      <c r="E47" s="12"/>
      <c r="F47" s="12"/>
      <c r="G47" s="5"/>
      <c r="H47" s="5"/>
      <c r="I47" s="5"/>
      <c r="J47" s="5"/>
      <c r="K47" s="5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</row>
    <row r="48" spans="1:155" ht="12.75">
      <c r="A48" t="s">
        <v>120</v>
      </c>
      <c r="C48" s="74">
        <v>2.535</v>
      </c>
      <c r="D48" s="74">
        <v>12.452</v>
      </c>
      <c r="E48" s="74">
        <f>57.5+39.33</f>
        <v>96.83</v>
      </c>
      <c r="F48" s="74">
        <f>29.275+13.617</f>
        <v>42.891999999999996</v>
      </c>
      <c r="G48" s="5">
        <f>G15*G27</f>
        <v>17.407871999999998</v>
      </c>
      <c r="H48" s="5">
        <f>H15*H27</f>
        <v>20.019052799999997</v>
      </c>
      <c r="I48" s="5">
        <f>I15*I27</f>
        <v>22.02095808</v>
      </c>
      <c r="J48" s="5">
        <f>J15*J27</f>
        <v>23.7826347264</v>
      </c>
      <c r="K48" s="5">
        <f>K15*K27</f>
        <v>24.971766462720005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</row>
    <row r="49" spans="1:155" ht="12.75">
      <c r="A49" t="s">
        <v>118</v>
      </c>
      <c r="C49" s="74">
        <v>12.392</v>
      </c>
      <c r="D49" s="74">
        <v>16.181</v>
      </c>
      <c r="E49" s="74">
        <v>60.693</v>
      </c>
      <c r="F49" s="74">
        <v>85.74</v>
      </c>
      <c r="G49" s="5">
        <f>G27*G12</f>
        <v>87.03935999999999</v>
      </c>
      <c r="H49" s="5">
        <f>H27*H12</f>
        <v>100.09526399999999</v>
      </c>
      <c r="I49" s="5">
        <f>I27*I12</f>
        <v>110.1047904</v>
      </c>
      <c r="J49" s="5">
        <f>J27*J12</f>
        <v>118.913173632</v>
      </c>
      <c r="K49" s="5">
        <f>K27*K12</f>
        <v>124.85883231360002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</row>
    <row r="50" spans="1:155" ht="12.75">
      <c r="A50" t="s">
        <v>47</v>
      </c>
      <c r="C50" s="74">
        <f aca="true" t="shared" si="7" ref="C50:K50">SUM(C48:C49)</f>
        <v>14.927</v>
      </c>
      <c r="D50" s="74">
        <f t="shared" si="7"/>
        <v>28.633000000000003</v>
      </c>
      <c r="E50" s="74">
        <f t="shared" si="7"/>
        <v>157.523</v>
      </c>
      <c r="F50" s="74">
        <f t="shared" si="7"/>
        <v>128.632</v>
      </c>
      <c r="G50" s="5">
        <f t="shared" si="7"/>
        <v>104.44723199999999</v>
      </c>
      <c r="H50" s="5">
        <f t="shared" si="7"/>
        <v>120.11431679999998</v>
      </c>
      <c r="I50" s="5">
        <f t="shared" si="7"/>
        <v>132.12574848</v>
      </c>
      <c r="J50" s="5">
        <f t="shared" si="7"/>
        <v>142.6958083584</v>
      </c>
      <c r="K50" s="5">
        <f t="shared" si="7"/>
        <v>149.83059877632002</v>
      </c>
      <c r="L50" s="77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</row>
    <row r="51" spans="1:155" ht="12.75">
      <c r="A51" t="s">
        <v>119</v>
      </c>
      <c r="C51" s="74"/>
      <c r="D51" s="74"/>
      <c r="E51" s="74"/>
      <c r="F51" s="74"/>
      <c r="G51" s="5">
        <f>IF(G60&gt;0,0,G65+G61+G59+G57-G50-G54-G55)</f>
        <v>95.40776310212549</v>
      </c>
      <c r="H51" s="5">
        <f>IF(H60&gt;0,0,H65+H61+H59+H57-H50-H54-H55)</f>
        <v>136.33902759940446</v>
      </c>
      <c r="I51" s="5">
        <f>IF(I60&gt;0,0,I65+I61+I59+I57-I50-I54-I55)</f>
        <v>185.52633446073003</v>
      </c>
      <c r="J51" s="5">
        <f>IF(J60&gt;0,0,J65+J61+J59+J57-J50-J54-J55)</f>
        <v>239.91703324295645</v>
      </c>
      <c r="K51" s="5">
        <f>IF(K60&gt;0,0,K65+K61+K59+K57-K50-K54-K55)</f>
        <v>300.19894174265164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</row>
    <row r="52" spans="1:155" ht="12.75">
      <c r="A52" t="s">
        <v>48</v>
      </c>
      <c r="C52" s="74">
        <v>3.955</v>
      </c>
      <c r="D52" s="74">
        <v>6.462</v>
      </c>
      <c r="E52" s="74">
        <v>16.86</v>
      </c>
      <c r="F52" s="74">
        <v>29.636</v>
      </c>
      <c r="G52" s="5">
        <f>G27*G14</f>
        <v>34.815743999999995</v>
      </c>
      <c r="H52" s="5">
        <f>H27*H14</f>
        <v>40.038105599999994</v>
      </c>
      <c r="I52" s="5">
        <f>I27*I14</f>
        <v>44.04191616</v>
      </c>
      <c r="J52" s="5">
        <f>J27*J14</f>
        <v>47.5652694528</v>
      </c>
      <c r="K52" s="5">
        <f>K27*K14</f>
        <v>49.94353292544001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</row>
    <row r="53" spans="1:155" ht="12.75">
      <c r="A53" t="s">
        <v>117</v>
      </c>
      <c r="C53" s="74">
        <v>1.099</v>
      </c>
      <c r="D53" s="74">
        <v>2.173</v>
      </c>
      <c r="E53" s="74">
        <v>5.32</v>
      </c>
      <c r="F53" s="74">
        <v>10.653</v>
      </c>
      <c r="G53" s="5">
        <f>F53+G30</f>
        <v>14.1345744</v>
      </c>
      <c r="H53" s="5">
        <f>G53+H30</f>
        <v>18.13838496</v>
      </c>
      <c r="I53" s="5">
        <f>H53+I30</f>
        <v>22.542576576000002</v>
      </c>
      <c r="J53" s="5">
        <f>I53+J30</f>
        <v>27.299103521280003</v>
      </c>
      <c r="K53" s="5">
        <f>J53+K30</f>
        <v>32.29345681382401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</row>
    <row r="54" spans="1:155" ht="12.75">
      <c r="A54" t="s">
        <v>49</v>
      </c>
      <c r="C54" s="74">
        <f aca="true" t="shared" si="8" ref="C54:K54">C52-C53</f>
        <v>2.856</v>
      </c>
      <c r="D54" s="74">
        <f t="shared" si="8"/>
        <v>4.289</v>
      </c>
      <c r="E54" s="74">
        <f t="shared" si="8"/>
        <v>11.54</v>
      </c>
      <c r="F54" s="74">
        <f t="shared" si="8"/>
        <v>18.982999999999997</v>
      </c>
      <c r="G54" s="5">
        <f t="shared" si="8"/>
        <v>20.681169599999997</v>
      </c>
      <c r="H54" s="5">
        <f t="shared" si="8"/>
        <v>21.899720639999995</v>
      </c>
      <c r="I54" s="5">
        <f t="shared" si="8"/>
        <v>21.499339583999998</v>
      </c>
      <c r="J54" s="5">
        <f t="shared" si="8"/>
        <v>20.26616593152</v>
      </c>
      <c r="K54" s="5">
        <f t="shared" si="8"/>
        <v>17.650076111616002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</row>
    <row r="55" spans="1:155" ht="12.75">
      <c r="A55" t="s">
        <v>67</v>
      </c>
      <c r="C55" s="74">
        <v>25.775</v>
      </c>
      <c r="D55" s="74">
        <v>25.8</v>
      </c>
      <c r="E55" s="74">
        <v>63.8</v>
      </c>
      <c r="F55" s="74">
        <v>101.05</v>
      </c>
      <c r="G55" s="5">
        <f>F55-G13</f>
        <v>96.05</v>
      </c>
      <c r="H55" s="5">
        <f>G55-H13</f>
        <v>91.05</v>
      </c>
      <c r="I55" s="5">
        <f>H55-I13</f>
        <v>86.05</v>
      </c>
      <c r="J55" s="5">
        <f>I55-J13</f>
        <v>81.05</v>
      </c>
      <c r="K55" s="5">
        <f>J55-K13</f>
        <v>76.05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</row>
    <row r="56" spans="1:155" ht="12.75">
      <c r="A56" s="1" t="s">
        <v>50</v>
      </c>
      <c r="B56" s="1"/>
      <c r="C56" s="40">
        <f aca="true" t="shared" si="9" ref="C56:K56">C50+C51+C54+C55</f>
        <v>43.558</v>
      </c>
      <c r="D56" s="40">
        <f t="shared" si="9"/>
        <v>58.72200000000001</v>
      </c>
      <c r="E56" s="40">
        <f t="shared" si="9"/>
        <v>232.863</v>
      </c>
      <c r="F56" s="40">
        <f t="shared" si="9"/>
        <v>248.66500000000002</v>
      </c>
      <c r="G56" s="40">
        <f t="shared" si="9"/>
        <v>316.5861647021255</v>
      </c>
      <c r="H56" s="40">
        <f t="shared" si="9"/>
        <v>369.40306503940445</v>
      </c>
      <c r="I56" s="40">
        <f t="shared" si="9"/>
        <v>425.20142252473</v>
      </c>
      <c r="J56" s="40">
        <f t="shared" si="9"/>
        <v>483.9290075328764</v>
      </c>
      <c r="K56" s="40">
        <f t="shared" si="9"/>
        <v>543.7296166305877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</row>
    <row r="57" spans="1:155" ht="12.75">
      <c r="A57" t="s">
        <v>51</v>
      </c>
      <c r="C57" s="74">
        <v>11.559</v>
      </c>
      <c r="D57" s="74">
        <v>14.897</v>
      </c>
      <c r="E57" s="74">
        <v>44.354</v>
      </c>
      <c r="F57" s="74">
        <v>41.735</v>
      </c>
      <c r="G57" s="5">
        <f>G27*G16</f>
        <v>72.5328</v>
      </c>
      <c r="H57" s="5">
        <f>H27*H16</f>
        <v>83.41272</v>
      </c>
      <c r="I57" s="5">
        <f>I27*I16</f>
        <v>91.753992</v>
      </c>
      <c r="J57" s="5">
        <f>J27*J16</f>
        <v>99.09431136</v>
      </c>
      <c r="K57" s="5">
        <f>K27*K16</f>
        <v>104.04902692800002</v>
      </c>
      <c r="L57" s="77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</row>
    <row r="58" spans="1:155" ht="12.75">
      <c r="A58" t="s">
        <v>52</v>
      </c>
      <c r="G58" s="5"/>
      <c r="H58" s="5"/>
      <c r="I58" s="5"/>
      <c r="J58" s="5"/>
      <c r="K58" s="5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</row>
    <row r="59" spans="1:155" ht="12.75">
      <c r="A59" t="s">
        <v>109</v>
      </c>
      <c r="C59" s="74">
        <v>6</v>
      </c>
      <c r="D59" s="74">
        <v>5.94</v>
      </c>
      <c r="E59" s="74">
        <v>0.008713</v>
      </c>
      <c r="F59" s="74">
        <v>1</v>
      </c>
      <c r="G59" s="5">
        <f>AP_App_B3!C23/1000</f>
        <v>1.4</v>
      </c>
      <c r="H59" s="5">
        <f>AP_App_B3!D23/1000</f>
        <v>1</v>
      </c>
      <c r="I59" s="5">
        <f>AP_App_B3!E23/1000</f>
        <v>0.6</v>
      </c>
      <c r="J59" s="5">
        <f>AP_App_B3!F23/1000</f>
        <v>0.2</v>
      </c>
      <c r="K59" s="5">
        <f>AP_App_B3!G23/1000</f>
        <v>0</v>
      </c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</row>
    <row r="60" spans="1:155" ht="12.75">
      <c r="A60" t="s">
        <v>110</v>
      </c>
      <c r="C60" s="74">
        <v>0</v>
      </c>
      <c r="D60" s="74">
        <v>0</v>
      </c>
      <c r="E60" s="74">
        <v>0</v>
      </c>
      <c r="F60" s="74">
        <v>0</v>
      </c>
      <c r="G60" s="5">
        <f>IF(G50+G54+G55-G57-G59-G61-G65&gt;0,G50+G54+G55-G57-G59-G61-G65,0)</f>
        <v>0</v>
      </c>
      <c r="H60" s="5">
        <f>IF(H50+H54+H55-H57-H59-H61-H65&gt;0,H50+H54+H55-H57-H59-H61-H65,0)</f>
        <v>0</v>
      </c>
      <c r="I60" s="5">
        <f>IF(I50+I54+I55-I57-I59-I61-I65&gt;0,I50+I54+I55-I57-I59-I61-I65,0)</f>
        <v>0</v>
      </c>
      <c r="J60" s="5">
        <f>IF(J50+J54+J55-J57-J59-J61-J65&gt;0,J50+J54+J55-J57-J59-J61-J65,0)</f>
        <v>0</v>
      </c>
      <c r="K60" s="5">
        <f>IF(K50+K54+K55-K57-K59-K61-K65&gt;0,K50+K54+K55-K57-K59-K61-K65,0)</f>
        <v>0</v>
      </c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</row>
    <row r="61" spans="1:155" ht="12.75">
      <c r="A61" t="s">
        <v>68</v>
      </c>
      <c r="C61" s="74">
        <v>0.086</v>
      </c>
      <c r="D61" s="74">
        <v>0.144</v>
      </c>
      <c r="E61" s="74">
        <v>1</v>
      </c>
      <c r="F61" s="74">
        <v>1.456</v>
      </c>
      <c r="G61" s="5">
        <f>F61*(1+G4)</f>
        <v>1.6743999999999999</v>
      </c>
      <c r="H61" s="5">
        <f>G61*(1+H4)</f>
        <v>1.9255599999999997</v>
      </c>
      <c r="I61" s="5">
        <f>H61*(1+I4)</f>
        <v>2.1181159999999997</v>
      </c>
      <c r="J61" s="5">
        <f>I61*(1+J4)</f>
        <v>2.28756528</v>
      </c>
      <c r="K61" s="5">
        <f>J61*(1+K4)</f>
        <v>2.401943544</v>
      </c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</row>
    <row r="62" spans="1:155" ht="12.75">
      <c r="A62" s="1" t="s">
        <v>69</v>
      </c>
      <c r="B62" s="1"/>
      <c r="C62" s="40">
        <f aca="true" t="shared" si="10" ref="C62:K62">C57+C59+C60+C61</f>
        <v>17.644999999999996</v>
      </c>
      <c r="D62" s="40">
        <f t="shared" si="10"/>
        <v>20.980999999999998</v>
      </c>
      <c r="E62" s="40">
        <f t="shared" si="10"/>
        <v>45.362713</v>
      </c>
      <c r="F62" s="40">
        <f t="shared" si="10"/>
        <v>44.191</v>
      </c>
      <c r="G62" s="40">
        <f t="shared" si="10"/>
        <v>75.6072</v>
      </c>
      <c r="H62" s="40">
        <f t="shared" si="10"/>
        <v>86.33828</v>
      </c>
      <c r="I62" s="40">
        <f t="shared" si="10"/>
        <v>94.47210799999999</v>
      </c>
      <c r="J62" s="40">
        <f t="shared" si="10"/>
        <v>101.58187664</v>
      </c>
      <c r="K62" s="40">
        <f t="shared" si="10"/>
        <v>106.45097047200002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</row>
    <row r="63" spans="1:155" ht="12.75">
      <c r="A63" t="s">
        <v>54</v>
      </c>
      <c r="C63" s="74">
        <v>21.698</v>
      </c>
      <c r="D63" s="74">
        <v>27.1</v>
      </c>
      <c r="E63" s="74">
        <f>155.172+0.019273</f>
        <v>155.191273</v>
      </c>
      <c r="F63" s="74">
        <f>156.475+0.019485-12.911</f>
        <v>143.583485</v>
      </c>
      <c r="G63" s="5">
        <f>F63</f>
        <v>143.583485</v>
      </c>
      <c r="H63" s="5">
        <f>G63</f>
        <v>143.583485</v>
      </c>
      <c r="I63" s="5">
        <f>H63</f>
        <v>143.583485</v>
      </c>
      <c r="J63" s="5">
        <f>I63</f>
        <v>143.583485</v>
      </c>
      <c r="K63" s="5">
        <f>J63</f>
        <v>143.583485</v>
      </c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</row>
    <row r="64" spans="1:155" ht="12.75">
      <c r="A64" t="s">
        <v>55</v>
      </c>
      <c r="C64" s="74">
        <v>4.402</v>
      </c>
      <c r="D64" s="74">
        <v>10.777</v>
      </c>
      <c r="E64" s="74">
        <v>32.309</v>
      </c>
      <c r="F64" s="74">
        <v>60.946</v>
      </c>
      <c r="G64" s="5">
        <f>F64+G44</f>
        <v>97.39547970212547</v>
      </c>
      <c r="H64" s="5">
        <f>G64+H44</f>
        <v>139.48130003940452</v>
      </c>
      <c r="I64" s="5">
        <f>H64+I44</f>
        <v>187.14582952473006</v>
      </c>
      <c r="J64" s="5">
        <f>I64+J44</f>
        <v>238.7636458928764</v>
      </c>
      <c r="K64" s="5">
        <f>J64+K44</f>
        <v>293.69516115858767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</row>
    <row r="65" spans="1:155" s="1" customFormat="1" ht="12.75">
      <c r="A65" s="1" t="s">
        <v>53</v>
      </c>
      <c r="C65" s="40">
        <f aca="true" t="shared" si="11" ref="C65:K65">SUM(C63:C64)</f>
        <v>26.1</v>
      </c>
      <c r="D65" s="40">
        <f t="shared" si="11"/>
        <v>37.877</v>
      </c>
      <c r="E65" s="40">
        <f t="shared" si="11"/>
        <v>187.500273</v>
      </c>
      <c r="F65" s="40">
        <f t="shared" si="11"/>
        <v>204.529485</v>
      </c>
      <c r="G65" s="40">
        <f t="shared" si="11"/>
        <v>240.97896470212547</v>
      </c>
      <c r="H65" s="40">
        <f t="shared" si="11"/>
        <v>283.0647850394045</v>
      </c>
      <c r="I65" s="40">
        <f t="shared" si="11"/>
        <v>330.72931452473006</v>
      </c>
      <c r="J65" s="40">
        <f t="shared" si="11"/>
        <v>382.3471308928764</v>
      </c>
      <c r="K65" s="40">
        <f t="shared" si="11"/>
        <v>437.27864615858766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</row>
    <row r="66" spans="1:155" ht="12.75">
      <c r="A66" s="1" t="s">
        <v>561</v>
      </c>
      <c r="B66" s="1"/>
      <c r="C66" s="40">
        <f aca="true" t="shared" si="12" ref="C66:K66">C62+C65</f>
        <v>43.745</v>
      </c>
      <c r="D66" s="40">
        <f t="shared" si="12"/>
        <v>58.858000000000004</v>
      </c>
      <c r="E66" s="40">
        <f t="shared" si="12"/>
        <v>232.86298599999998</v>
      </c>
      <c r="F66" s="40">
        <f t="shared" si="12"/>
        <v>248.720485</v>
      </c>
      <c r="G66" s="40">
        <f t="shared" si="12"/>
        <v>316.5861647021255</v>
      </c>
      <c r="H66" s="40">
        <f t="shared" si="12"/>
        <v>369.4030650394045</v>
      </c>
      <c r="I66" s="40">
        <f t="shared" si="12"/>
        <v>425.20142252473005</v>
      </c>
      <c r="J66" s="40">
        <f t="shared" si="12"/>
        <v>483.9290075328764</v>
      </c>
      <c r="K66" s="40">
        <f t="shared" si="12"/>
        <v>543.7296166305877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</row>
    <row r="67" spans="1:155" ht="12.75">
      <c r="A67" t="s">
        <v>443</v>
      </c>
      <c r="C67" s="388">
        <f aca="true" t="shared" si="13" ref="C67:K67">C56-C66</f>
        <v>-0.1869999999999976</v>
      </c>
      <c r="D67" s="388">
        <f t="shared" si="13"/>
        <v>-0.13599999999999568</v>
      </c>
      <c r="E67" s="389">
        <f t="shared" si="13"/>
        <v>1.4000000021496817E-05</v>
      </c>
      <c r="F67" s="388">
        <f t="shared" si="13"/>
        <v>-0.055484999999976026</v>
      </c>
      <c r="G67" s="388">
        <f t="shared" si="13"/>
        <v>0</v>
      </c>
      <c r="H67" s="388">
        <f t="shared" si="13"/>
        <v>0</v>
      </c>
      <c r="I67" s="388">
        <f t="shared" si="13"/>
        <v>0</v>
      </c>
      <c r="J67" s="388">
        <f t="shared" si="13"/>
        <v>0</v>
      </c>
      <c r="K67" s="39">
        <f t="shared" si="13"/>
        <v>0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</row>
    <row r="68" spans="1:155" ht="12.75">
      <c r="A68" t="s">
        <v>71</v>
      </c>
      <c r="C68" s="6">
        <v>6.932</v>
      </c>
      <c r="D68" s="78">
        <v>8.539</v>
      </c>
      <c r="E68" s="78">
        <v>13.879</v>
      </c>
      <c r="F68" s="78">
        <v>19.06</v>
      </c>
      <c r="G68" s="6">
        <f>G17</f>
        <v>19.1</v>
      </c>
      <c r="H68" s="6">
        <f>H17</f>
        <v>19.1</v>
      </c>
      <c r="I68" s="6">
        <f>I17</f>
        <v>19.1</v>
      </c>
      <c r="J68" s="6">
        <f>J17</f>
        <v>19.1</v>
      </c>
      <c r="K68" s="6">
        <f>K17</f>
        <v>19.1</v>
      </c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</row>
    <row r="69" spans="1:155" ht="12.75">
      <c r="A69" t="s">
        <v>70</v>
      </c>
      <c r="C69" s="71">
        <f aca="true" t="shared" si="14" ref="C69:K69">C43/C42</f>
        <v>0.18751822688830558</v>
      </c>
      <c r="D69" s="71">
        <f t="shared" si="14"/>
        <v>0.22558309037900873</v>
      </c>
      <c r="E69" s="71">
        <f t="shared" si="14"/>
        <v>0.27499505048505235</v>
      </c>
      <c r="F69" s="71">
        <f t="shared" si="14"/>
        <v>0.28999628114540715</v>
      </c>
      <c r="G69" s="11">
        <f t="shared" si="14"/>
        <v>0.29</v>
      </c>
      <c r="H69" s="11">
        <f t="shared" si="14"/>
        <v>0.295</v>
      </c>
      <c r="I69" s="11">
        <f t="shared" si="14"/>
        <v>0.3</v>
      </c>
      <c r="J69" s="11">
        <f t="shared" si="14"/>
        <v>0.305</v>
      </c>
      <c r="K69" s="11">
        <f t="shared" si="14"/>
        <v>0.31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</row>
    <row r="70" spans="1:155" ht="12.75">
      <c r="A70" t="s">
        <v>122</v>
      </c>
      <c r="C70" s="79">
        <f aca="true" t="shared" si="15" ref="C70:K70">C44/C68</f>
        <v>0.40190421234852874</v>
      </c>
      <c r="D70" s="79">
        <f t="shared" si="15"/>
        <v>0.7465745403443027</v>
      </c>
      <c r="E70" s="79">
        <f t="shared" si="15"/>
        <v>1.5831111751567124</v>
      </c>
      <c r="F70" s="79">
        <f t="shared" si="15"/>
        <v>1.5025183630640089</v>
      </c>
      <c r="G70" s="41">
        <f t="shared" si="15"/>
        <v>1.9083497226243702</v>
      </c>
      <c r="H70" s="41">
        <f t="shared" si="15"/>
        <v>2.203446090957017</v>
      </c>
      <c r="I70" s="41">
        <f t="shared" si="15"/>
        <v>2.4955251039437463</v>
      </c>
      <c r="J70" s="41">
        <f t="shared" si="15"/>
        <v>2.7025034747720604</v>
      </c>
      <c r="K70" s="41">
        <f t="shared" si="15"/>
        <v>2.875995563649804</v>
      </c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</row>
    <row r="71" spans="4:155" ht="12.75">
      <c r="D71" s="74"/>
      <c r="E71" s="81"/>
      <c r="F71" s="74"/>
      <c r="G71" s="5"/>
      <c r="H71" s="5"/>
      <c r="I71" s="5"/>
      <c r="J71" s="5"/>
      <c r="K71" s="5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</row>
    <row r="72" spans="1:155" ht="12.75">
      <c r="A72" s="55" t="s">
        <v>463</v>
      </c>
      <c r="C72" s="53">
        <f aca="true" t="shared" si="16" ref="C72:K72">C50-C57</f>
        <v>3.3680000000000003</v>
      </c>
      <c r="D72" s="53">
        <f t="shared" si="16"/>
        <v>13.736000000000002</v>
      </c>
      <c r="E72" s="53">
        <f t="shared" si="16"/>
        <v>113.169</v>
      </c>
      <c r="F72" s="53">
        <f t="shared" si="16"/>
        <v>86.897</v>
      </c>
      <c r="G72" s="53">
        <f t="shared" si="16"/>
        <v>31.91443199999999</v>
      </c>
      <c r="H72" s="53">
        <f t="shared" si="16"/>
        <v>36.70159679999999</v>
      </c>
      <c r="I72" s="53">
        <f t="shared" si="16"/>
        <v>40.37175648</v>
      </c>
      <c r="J72" s="53">
        <f t="shared" si="16"/>
        <v>43.601496998399995</v>
      </c>
      <c r="K72" s="144">
        <f t="shared" si="16"/>
        <v>45.78157184832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</row>
    <row r="73" spans="1:155" ht="12.75">
      <c r="A73" s="1" t="s">
        <v>56</v>
      </c>
      <c r="D73" s="74"/>
      <c r="E73" s="74"/>
      <c r="F73" s="74"/>
      <c r="G73" s="5"/>
      <c r="H73" s="5"/>
      <c r="I73" s="5"/>
      <c r="J73" s="5"/>
      <c r="K73" s="5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</row>
    <row r="74" spans="1:155" ht="12.75">
      <c r="A74" t="s">
        <v>57</v>
      </c>
      <c r="C74" s="74">
        <f aca="true" t="shared" si="17" ref="C74:K74">C39*(1-C69)</f>
        <v>3.1256173811606898</v>
      </c>
      <c r="D74" s="74">
        <f t="shared" si="17"/>
        <v>6.702578352769681</v>
      </c>
      <c r="E74" s="74">
        <f t="shared" si="17"/>
        <v>20.820692140170273</v>
      </c>
      <c r="F74" s="74">
        <f t="shared" si="17"/>
        <v>25.916555745630358</v>
      </c>
      <c r="G74" s="5">
        <f t="shared" si="17"/>
        <v>32.51055465600001</v>
      </c>
      <c r="H74" s="5">
        <f t="shared" si="17"/>
        <v>36.61790800320002</v>
      </c>
      <c r="I74" s="5">
        <f t="shared" si="17"/>
        <v>40.422074246400015</v>
      </c>
      <c r="J74" s="5">
        <f t="shared" si="17"/>
        <v>42.459639156211225</v>
      </c>
      <c r="K74" s="5">
        <f t="shared" si="17"/>
        <v>43.713125832625934</v>
      </c>
      <c r="L74" s="74"/>
      <c r="M74" s="76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</row>
    <row r="75" spans="1:155" ht="12.75">
      <c r="A75" t="s">
        <v>58</v>
      </c>
      <c r="C75" s="10">
        <f aca="true" t="shared" si="18" ref="C75:K75">C30+C36</f>
        <v>1.099</v>
      </c>
      <c r="D75" s="10">
        <f t="shared" si="18"/>
        <v>2.986</v>
      </c>
      <c r="E75" s="10">
        <f t="shared" si="18"/>
        <v>4.571</v>
      </c>
      <c r="F75" s="10">
        <f t="shared" si="18"/>
        <v>9.272</v>
      </c>
      <c r="G75" s="10">
        <f t="shared" si="18"/>
        <v>3.4815743999999995</v>
      </c>
      <c r="H75" s="10">
        <f t="shared" si="18"/>
        <v>4.00381056</v>
      </c>
      <c r="I75" s="10">
        <f t="shared" si="18"/>
        <v>4.404191616</v>
      </c>
      <c r="J75" s="10">
        <f t="shared" si="18"/>
        <v>4.75652694528</v>
      </c>
      <c r="K75" s="10">
        <f t="shared" si="18"/>
        <v>4.994353292544002</v>
      </c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</row>
    <row r="76" spans="1:155" ht="12.75">
      <c r="A76" t="s">
        <v>528</v>
      </c>
      <c r="C76" s="74">
        <v>2.934</v>
      </c>
      <c r="D76" s="74">
        <f aca="true" t="shared" si="19" ref="D76:K76">D52-C52</f>
        <v>2.5069999999999997</v>
      </c>
      <c r="E76" s="74">
        <f t="shared" si="19"/>
        <v>10.398</v>
      </c>
      <c r="F76" s="74">
        <f t="shared" si="19"/>
        <v>12.776</v>
      </c>
      <c r="G76" s="5">
        <f t="shared" si="19"/>
        <v>5.179743999999996</v>
      </c>
      <c r="H76" s="5">
        <f t="shared" si="19"/>
        <v>5.222361599999999</v>
      </c>
      <c r="I76" s="5">
        <f t="shared" si="19"/>
        <v>4.003810560000005</v>
      </c>
      <c r="J76" s="5">
        <f t="shared" si="19"/>
        <v>3.523353292800003</v>
      </c>
      <c r="K76" s="5">
        <f t="shared" si="19"/>
        <v>2.3782634726400076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</row>
    <row r="77" spans="1:155" ht="12.75">
      <c r="A77" t="s">
        <v>59</v>
      </c>
      <c r="C77" s="74">
        <v>-4.4</v>
      </c>
      <c r="D77" s="74">
        <f aca="true" t="shared" si="20" ref="D77:K77">(D50-D57)-(C50-C57)</f>
        <v>10.368000000000002</v>
      </c>
      <c r="E77" s="74">
        <f t="shared" si="20"/>
        <v>99.43299999999999</v>
      </c>
      <c r="F77" s="74">
        <f t="shared" si="20"/>
        <v>-26.27199999999999</v>
      </c>
      <c r="G77" s="5">
        <f t="shared" si="20"/>
        <v>-54.982568000000015</v>
      </c>
      <c r="H77" s="5">
        <f t="shared" si="20"/>
        <v>4.787164799999999</v>
      </c>
      <c r="I77" s="5">
        <f t="shared" si="20"/>
        <v>3.670159680000012</v>
      </c>
      <c r="J77" s="5">
        <f t="shared" si="20"/>
        <v>3.2297405183999928</v>
      </c>
      <c r="K77" s="5">
        <f t="shared" si="20"/>
        <v>2.180074849920004</v>
      </c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</row>
    <row r="78" spans="1:155" ht="13.5" thickBot="1">
      <c r="A78" t="s">
        <v>60</v>
      </c>
      <c r="C78" s="23">
        <f aca="true" t="shared" si="21" ref="C78:K78">C74+C75-C76-C77</f>
        <v>5.69061738116069</v>
      </c>
      <c r="D78" s="23">
        <f t="shared" si="21"/>
        <v>-3.18642164723032</v>
      </c>
      <c r="E78" s="23">
        <f t="shared" si="21"/>
        <v>-84.43930785982973</v>
      </c>
      <c r="F78" s="23">
        <f t="shared" si="21"/>
        <v>48.68455574563035</v>
      </c>
      <c r="G78" s="23">
        <f t="shared" si="21"/>
        <v>85.79495305600003</v>
      </c>
      <c r="H78" s="23">
        <f t="shared" si="21"/>
        <v>30.61219216320002</v>
      </c>
      <c r="I78" s="23">
        <f t="shared" si="21"/>
        <v>37.1522956224</v>
      </c>
      <c r="J78" s="23">
        <f t="shared" si="21"/>
        <v>40.46307229029123</v>
      </c>
      <c r="K78" s="23">
        <f t="shared" si="21"/>
        <v>44.14914080260993</v>
      </c>
      <c r="L78" s="81"/>
      <c r="M78" s="96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</row>
    <row r="79" spans="3:155" ht="13.5" thickTop="1"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</row>
    <row r="80" spans="1:155" ht="12.75">
      <c r="A80" s="419" t="s">
        <v>607</v>
      </c>
      <c r="B80" s="419"/>
      <c r="C80" s="423">
        <f>NPV(C18,G78:K78)</f>
        <v>172.4022736624857</v>
      </c>
      <c r="D80" s="81"/>
      <c r="E80" s="81"/>
      <c r="F80" s="81"/>
      <c r="G80" s="81"/>
      <c r="H80" s="81"/>
      <c r="I80" s="81"/>
      <c r="J80" s="81"/>
      <c r="K80" s="81"/>
      <c r="L80" s="81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</row>
    <row r="81" spans="1:155" ht="12.75">
      <c r="A81" s="419" t="s">
        <v>61</v>
      </c>
      <c r="B81" s="419"/>
      <c r="C81" s="423">
        <f>((K78*(1+C20))/(C19-C20))/(1+C18)^5</f>
        <v>324.3087297739184</v>
      </c>
      <c r="D81" s="76" t="s">
        <v>85</v>
      </c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</row>
    <row r="82" spans="1:155" ht="12.75">
      <c r="A82" s="419" t="s">
        <v>62</v>
      </c>
      <c r="B82" s="419"/>
      <c r="C82" s="423">
        <f>SUM(C80:C81)</f>
        <v>496.7110034364041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</row>
    <row r="83" spans="1:155" ht="12.75">
      <c r="A83" s="419" t="s">
        <v>63</v>
      </c>
      <c r="B83" s="419"/>
      <c r="C83" s="423">
        <f>AP_App_B3!C27/1000</f>
        <v>1.368808891849901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</row>
    <row r="84" spans="1:155" ht="12.75">
      <c r="A84" s="419" t="s">
        <v>506</v>
      </c>
      <c r="B84" s="419"/>
      <c r="C84" s="423">
        <f>G51</f>
        <v>95.40776310212549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</row>
    <row r="85" spans="1:155" ht="12.75">
      <c r="A85" s="419" t="s">
        <v>64</v>
      </c>
      <c r="B85" s="419"/>
      <c r="C85" s="423">
        <f>C82-C83+C84</f>
        <v>590.7499576466797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</row>
    <row r="86" spans="1:155" ht="12.75">
      <c r="A86" s="419" t="s">
        <v>65</v>
      </c>
      <c r="B86" s="419"/>
      <c r="C86" s="424">
        <f>C85/F68</f>
        <v>30.994226529206703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</row>
    <row r="87" spans="4:155" ht="12.7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</row>
    <row r="88" spans="1:155" ht="12.75">
      <c r="A88" t="s">
        <v>98</v>
      </c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</row>
    <row r="89" spans="1:155" ht="12.75">
      <c r="A89" t="s">
        <v>186</v>
      </c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</row>
    <row r="90" spans="1:155" ht="12.75">
      <c r="A90" s="441" t="s">
        <v>504</v>
      </c>
      <c r="B90" s="441"/>
      <c r="C90" s="441"/>
      <c r="D90" s="441"/>
      <c r="E90" s="441"/>
      <c r="F90" s="441"/>
      <c r="G90" s="441"/>
      <c r="H90" s="441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</row>
    <row r="91" spans="1:155" ht="12.75">
      <c r="A91" s="441" t="s">
        <v>455</v>
      </c>
      <c r="B91" s="441"/>
      <c r="C91" s="441"/>
      <c r="D91" s="441"/>
      <c r="E91" s="441"/>
      <c r="F91" s="441"/>
      <c r="G91" s="441"/>
      <c r="H91" s="441"/>
      <c r="I91" s="441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</row>
    <row r="92" spans="1:155" ht="12.75">
      <c r="A92" t="s">
        <v>456</v>
      </c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</row>
    <row r="93" spans="4:155" ht="12.75"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</row>
    <row r="94" spans="4:155" ht="12.75"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</row>
    <row r="95" spans="4:155" ht="12.75"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</row>
    <row r="96" spans="4:155" ht="12.75"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</row>
    <row r="97" spans="4:155" ht="12.75"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</row>
    <row r="98" spans="4:155" ht="12.75"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</row>
    <row r="99" spans="4:155" ht="12.75"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</row>
    <row r="100" spans="4:155" ht="12.75"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</row>
    <row r="101" spans="4:155" ht="12.75"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</row>
    <row r="102" spans="4:155" ht="12.75"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</row>
    <row r="103" spans="4:155" ht="12.7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</row>
    <row r="104" spans="4:155" ht="12.75"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</row>
    <row r="105" spans="4:155" ht="12.75"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</row>
    <row r="106" spans="4:155" ht="12.7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</row>
    <row r="107" spans="4:155" ht="12.75"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</row>
    <row r="108" spans="4:155" ht="12.75"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</row>
    <row r="109" spans="4:155" ht="12.75"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</row>
    <row r="110" spans="4:155" ht="12.75"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</row>
    <row r="111" spans="4:155" ht="12.7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</row>
    <row r="112" spans="4:155" ht="12.75"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</row>
    <row r="113" spans="4:155" ht="12.7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</row>
    <row r="114" spans="4:155" ht="12.75"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</row>
    <row r="115" spans="4:155" ht="12.7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</row>
    <row r="116" spans="4:155" ht="12.75"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</row>
    <row r="117" spans="4:155" ht="12.75"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</row>
    <row r="118" spans="4:155" ht="12.7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</row>
    <row r="119" spans="4:155" ht="12.75"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</row>
    <row r="120" spans="4:155" ht="12.75"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</row>
    <row r="121" spans="4:155" ht="12.75"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</row>
    <row r="122" spans="4:155" ht="12.75"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</row>
    <row r="123" spans="4:155" ht="12.75"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</row>
    <row r="124" spans="4:155" ht="12.75"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</row>
    <row r="125" spans="4:155" ht="12.75"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</row>
    <row r="126" spans="4:155" ht="12.75"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</row>
    <row r="127" spans="4:155" ht="12.75"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</row>
    <row r="128" spans="4:155" ht="12.75"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</row>
    <row r="129" spans="4:155" ht="12.75"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</row>
    <row r="130" spans="4:155" ht="12.75"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</row>
    <row r="131" spans="4:155" ht="12.75"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</row>
    <row r="132" spans="4:155" ht="12.75"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</row>
    <row r="133" spans="4:155" ht="12.75"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</row>
    <row r="134" spans="4:155" ht="12.75"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</row>
    <row r="135" spans="4:155" ht="12.75"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</row>
    <row r="136" spans="4:155" ht="12.75"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</row>
    <row r="137" spans="4:155" ht="12.75"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</row>
    <row r="138" spans="4:155" ht="12.75"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</row>
    <row r="139" spans="4:155" ht="12.75"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</row>
    <row r="140" spans="4:155" ht="12.75"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</row>
    <row r="141" spans="4:155" ht="12.75"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</row>
    <row r="142" spans="4:155" ht="12.75"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</row>
    <row r="143" spans="4:155" ht="12.75"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</row>
    <row r="144" spans="4:155" ht="12.75"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</row>
    <row r="145" spans="4:155" ht="12.75"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</row>
    <row r="146" spans="4:155" ht="12.7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</row>
    <row r="147" spans="4:155" ht="12.7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</row>
    <row r="148" spans="4:155" ht="12.7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</row>
    <row r="149" spans="4:155" ht="12.7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</row>
    <row r="150" spans="4:155" ht="12.7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</row>
    <row r="151" spans="4:155" ht="12.7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</row>
    <row r="152" spans="4:155" ht="12.7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</row>
    <row r="153" spans="4:155" ht="12.7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</row>
    <row r="154" spans="4:155" ht="12.7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</row>
    <row r="155" spans="4:155" ht="12.7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</row>
    <row r="156" spans="4:155" ht="12.7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</row>
    <row r="157" spans="4:155" ht="12.7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</row>
    <row r="158" spans="4:155" ht="12.7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</row>
    <row r="159" spans="4:155" ht="12.7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</row>
    <row r="160" spans="4:155" ht="12.7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</row>
    <row r="161" spans="4:155" ht="12.75"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74"/>
      <c r="CB161" s="74"/>
      <c r="CC161" s="74"/>
      <c r="CD161" s="74"/>
      <c r="CE161" s="74"/>
      <c r="CF161" s="74"/>
      <c r="CG161" s="74"/>
      <c r="CH161" s="74"/>
      <c r="CI161" s="74"/>
      <c r="CJ161" s="74"/>
      <c r="CK161" s="74"/>
      <c r="CL161" s="74"/>
      <c r="CM161" s="74"/>
      <c r="CN161" s="74"/>
      <c r="CO161" s="74"/>
      <c r="CP161" s="74"/>
      <c r="CQ161" s="74"/>
      <c r="CR161" s="74"/>
      <c r="CS161" s="74"/>
      <c r="CT161" s="74"/>
      <c r="CU161" s="74"/>
      <c r="CV161" s="74"/>
      <c r="CW161" s="74"/>
      <c r="CX161" s="74"/>
      <c r="CY161" s="74"/>
      <c r="CZ161" s="74"/>
      <c r="DA161" s="74"/>
      <c r="DB161" s="74"/>
      <c r="DC161" s="74"/>
      <c r="DD161" s="74"/>
      <c r="DE161" s="74"/>
      <c r="DF161" s="74"/>
      <c r="DG161" s="74"/>
      <c r="DH161" s="74"/>
      <c r="DI161" s="74"/>
      <c r="DJ161" s="74"/>
      <c r="DK161" s="74"/>
      <c r="DL161" s="74"/>
      <c r="DM161" s="74"/>
      <c r="DN161" s="74"/>
      <c r="DO161" s="74"/>
      <c r="DP161" s="74"/>
      <c r="DQ161" s="74"/>
      <c r="DR161" s="74"/>
      <c r="DS161" s="74"/>
      <c r="DT161" s="74"/>
      <c r="DU161" s="74"/>
      <c r="DV161" s="74"/>
      <c r="DW161" s="74"/>
      <c r="DX161" s="74"/>
      <c r="DY161" s="74"/>
      <c r="DZ161" s="74"/>
      <c r="EA161" s="74"/>
      <c r="EB161" s="74"/>
      <c r="EC161" s="74"/>
      <c r="ED161" s="74"/>
      <c r="EE161" s="74"/>
      <c r="EF161" s="74"/>
      <c r="EG161" s="74"/>
      <c r="EH161" s="74"/>
      <c r="EI161" s="74"/>
      <c r="EJ161" s="74"/>
      <c r="EK161" s="74"/>
      <c r="EL161" s="74"/>
      <c r="EM161" s="74"/>
      <c r="EN161" s="74"/>
      <c r="EO161" s="74"/>
      <c r="EP161" s="74"/>
      <c r="EQ161" s="74"/>
      <c r="ER161" s="74"/>
      <c r="ES161" s="74"/>
      <c r="ET161" s="74"/>
      <c r="EU161" s="74"/>
      <c r="EV161" s="74"/>
      <c r="EW161" s="74"/>
      <c r="EX161" s="74"/>
      <c r="EY161" s="74"/>
    </row>
    <row r="162" spans="4:155" ht="12.75"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74"/>
      <c r="CB162" s="74"/>
      <c r="CC162" s="74"/>
      <c r="CD162" s="74"/>
      <c r="CE162" s="74"/>
      <c r="CF162" s="74"/>
      <c r="CG162" s="74"/>
      <c r="CH162" s="74"/>
      <c r="CI162" s="74"/>
      <c r="CJ162" s="74"/>
      <c r="CK162" s="74"/>
      <c r="CL162" s="74"/>
      <c r="CM162" s="74"/>
      <c r="CN162" s="74"/>
      <c r="CO162" s="74"/>
      <c r="CP162" s="74"/>
      <c r="CQ162" s="74"/>
      <c r="CR162" s="74"/>
      <c r="CS162" s="74"/>
      <c r="CT162" s="74"/>
      <c r="CU162" s="74"/>
      <c r="CV162" s="74"/>
      <c r="CW162" s="74"/>
      <c r="CX162" s="74"/>
      <c r="CY162" s="74"/>
      <c r="CZ162" s="74"/>
      <c r="DA162" s="74"/>
      <c r="DB162" s="74"/>
      <c r="DC162" s="74"/>
      <c r="DD162" s="74"/>
      <c r="DE162" s="74"/>
      <c r="DF162" s="74"/>
      <c r="DG162" s="74"/>
      <c r="DH162" s="74"/>
      <c r="DI162" s="74"/>
      <c r="DJ162" s="74"/>
      <c r="DK162" s="74"/>
      <c r="DL162" s="74"/>
      <c r="DM162" s="74"/>
      <c r="DN162" s="74"/>
      <c r="DO162" s="74"/>
      <c r="DP162" s="74"/>
      <c r="DQ162" s="74"/>
      <c r="DR162" s="74"/>
      <c r="DS162" s="74"/>
      <c r="DT162" s="74"/>
      <c r="DU162" s="74"/>
      <c r="DV162" s="74"/>
      <c r="DW162" s="74"/>
      <c r="DX162" s="74"/>
      <c r="DY162" s="74"/>
      <c r="DZ162" s="74"/>
      <c r="EA162" s="74"/>
      <c r="EB162" s="74"/>
      <c r="EC162" s="74"/>
      <c r="ED162" s="74"/>
      <c r="EE162" s="74"/>
      <c r="EF162" s="74"/>
      <c r="EG162" s="74"/>
      <c r="EH162" s="74"/>
      <c r="EI162" s="74"/>
      <c r="EJ162" s="74"/>
      <c r="EK162" s="74"/>
      <c r="EL162" s="74"/>
      <c r="EM162" s="74"/>
      <c r="EN162" s="74"/>
      <c r="EO162" s="74"/>
      <c r="EP162" s="74"/>
      <c r="EQ162" s="74"/>
      <c r="ER162" s="74"/>
      <c r="ES162" s="74"/>
      <c r="ET162" s="74"/>
      <c r="EU162" s="74"/>
      <c r="EV162" s="74"/>
      <c r="EW162" s="74"/>
      <c r="EX162" s="74"/>
      <c r="EY162" s="74"/>
    </row>
    <row r="163" spans="4:155" ht="12.75"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74"/>
      <c r="CB163" s="74"/>
      <c r="CC163" s="74"/>
      <c r="CD163" s="74"/>
      <c r="CE163" s="74"/>
      <c r="CF163" s="74"/>
      <c r="CG163" s="74"/>
      <c r="CH163" s="74"/>
      <c r="CI163" s="74"/>
      <c r="CJ163" s="74"/>
      <c r="CK163" s="74"/>
      <c r="CL163" s="74"/>
      <c r="CM163" s="74"/>
      <c r="CN163" s="74"/>
      <c r="CO163" s="74"/>
      <c r="CP163" s="74"/>
      <c r="CQ163" s="74"/>
      <c r="CR163" s="74"/>
      <c r="CS163" s="74"/>
      <c r="CT163" s="74"/>
      <c r="CU163" s="74"/>
      <c r="CV163" s="74"/>
      <c r="CW163" s="74"/>
      <c r="CX163" s="74"/>
      <c r="CY163" s="74"/>
      <c r="CZ163" s="74"/>
      <c r="DA163" s="74"/>
      <c r="DB163" s="74"/>
      <c r="DC163" s="74"/>
      <c r="DD163" s="74"/>
      <c r="DE163" s="74"/>
      <c r="DF163" s="74"/>
      <c r="DG163" s="74"/>
      <c r="DH163" s="74"/>
      <c r="DI163" s="74"/>
      <c r="DJ163" s="74"/>
      <c r="DK163" s="74"/>
      <c r="DL163" s="74"/>
      <c r="DM163" s="74"/>
      <c r="DN163" s="74"/>
      <c r="DO163" s="74"/>
      <c r="DP163" s="74"/>
      <c r="DQ163" s="74"/>
      <c r="DR163" s="74"/>
      <c r="DS163" s="74"/>
      <c r="DT163" s="74"/>
      <c r="DU163" s="74"/>
      <c r="DV163" s="74"/>
      <c r="DW163" s="74"/>
      <c r="DX163" s="74"/>
      <c r="DY163" s="74"/>
      <c r="DZ163" s="74"/>
      <c r="EA163" s="74"/>
      <c r="EB163" s="74"/>
      <c r="EC163" s="74"/>
      <c r="ED163" s="74"/>
      <c r="EE163" s="74"/>
      <c r="EF163" s="74"/>
      <c r="EG163" s="74"/>
      <c r="EH163" s="74"/>
      <c r="EI163" s="74"/>
      <c r="EJ163" s="74"/>
      <c r="EK163" s="74"/>
      <c r="EL163" s="74"/>
      <c r="EM163" s="74"/>
      <c r="EN163" s="74"/>
      <c r="EO163" s="74"/>
      <c r="EP163" s="74"/>
      <c r="EQ163" s="74"/>
      <c r="ER163" s="74"/>
      <c r="ES163" s="74"/>
      <c r="ET163" s="74"/>
      <c r="EU163" s="74"/>
      <c r="EV163" s="74"/>
      <c r="EW163" s="74"/>
      <c r="EX163" s="74"/>
      <c r="EY163" s="74"/>
    </row>
    <row r="164" spans="4:155" ht="12.75"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74"/>
      <c r="CB164" s="74"/>
      <c r="CC164" s="74"/>
      <c r="CD164" s="74"/>
      <c r="CE164" s="74"/>
      <c r="CF164" s="74"/>
      <c r="CG164" s="74"/>
      <c r="CH164" s="74"/>
      <c r="CI164" s="74"/>
      <c r="CJ164" s="74"/>
      <c r="CK164" s="74"/>
      <c r="CL164" s="74"/>
      <c r="CM164" s="74"/>
      <c r="CN164" s="74"/>
      <c r="CO164" s="74"/>
      <c r="CP164" s="74"/>
      <c r="CQ164" s="74"/>
      <c r="CR164" s="74"/>
      <c r="CS164" s="74"/>
      <c r="CT164" s="74"/>
      <c r="CU164" s="74"/>
      <c r="CV164" s="74"/>
      <c r="CW164" s="74"/>
      <c r="CX164" s="74"/>
      <c r="CY164" s="74"/>
      <c r="CZ164" s="74"/>
      <c r="DA164" s="74"/>
      <c r="DB164" s="74"/>
      <c r="DC164" s="74"/>
      <c r="DD164" s="74"/>
      <c r="DE164" s="74"/>
      <c r="DF164" s="74"/>
      <c r="DG164" s="74"/>
      <c r="DH164" s="74"/>
      <c r="DI164" s="74"/>
      <c r="DJ164" s="74"/>
      <c r="DK164" s="74"/>
      <c r="DL164" s="74"/>
      <c r="DM164" s="74"/>
      <c r="DN164" s="74"/>
      <c r="DO164" s="74"/>
      <c r="DP164" s="74"/>
      <c r="DQ164" s="74"/>
      <c r="DR164" s="74"/>
      <c r="DS164" s="74"/>
      <c r="DT164" s="74"/>
      <c r="DU164" s="74"/>
      <c r="DV164" s="74"/>
      <c r="DW164" s="74"/>
      <c r="DX164" s="74"/>
      <c r="DY164" s="74"/>
      <c r="DZ164" s="74"/>
      <c r="EA164" s="74"/>
      <c r="EB164" s="74"/>
      <c r="EC164" s="74"/>
      <c r="ED164" s="74"/>
      <c r="EE164" s="74"/>
      <c r="EF164" s="74"/>
      <c r="EG164" s="74"/>
      <c r="EH164" s="74"/>
      <c r="EI164" s="74"/>
      <c r="EJ164" s="74"/>
      <c r="EK164" s="74"/>
      <c r="EL164" s="74"/>
      <c r="EM164" s="74"/>
      <c r="EN164" s="74"/>
      <c r="EO164" s="74"/>
      <c r="EP164" s="74"/>
      <c r="EQ164" s="74"/>
      <c r="ER164" s="74"/>
      <c r="ES164" s="74"/>
      <c r="ET164" s="74"/>
      <c r="EU164" s="74"/>
      <c r="EV164" s="74"/>
      <c r="EW164" s="74"/>
      <c r="EX164" s="74"/>
      <c r="EY164" s="74"/>
    </row>
  </sheetData>
  <sheetProtection/>
  <mergeCells count="5">
    <mergeCell ref="A91:I91"/>
    <mergeCell ref="G24:K24"/>
    <mergeCell ref="C24:F24"/>
    <mergeCell ref="C1:K1"/>
    <mergeCell ref="A90:H90"/>
  </mergeCells>
  <printOptions/>
  <pageMargins left="0.75" right="0.75" top="1.36" bottom="0.62" header="0.84" footer="0.3"/>
  <pageSetup horizontalDpi="300" verticalDpi="300" orientation="landscape" scale="75" r:id="rId1"/>
  <headerFooter alignWithMargins="0">
    <oddHeader>&amp;C&amp;"Arial,Bold"&amp;14Acquisition Plan - JAKKS
Financial Forecast 2001 - 2005 and Valuation JAKKS&amp;R&amp;UAppendix B-1</oddHeader>
    <oddFooter>&amp;LAcquisition Plan JAKKS&amp;C&amp;P of &amp;N&amp;R&amp;D</oddFooter>
  </headerFooter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2">
      <selection activeCell="B131" sqref="B131"/>
    </sheetView>
  </sheetViews>
  <sheetFormatPr defaultColWidth="9.140625" defaultRowHeight="12.75"/>
  <cols>
    <col min="1" max="1" width="3.7109375" style="0" customWidth="1"/>
    <col min="2" max="2" width="41.421875" style="0" customWidth="1"/>
    <col min="3" max="3" width="3.00390625" style="0" customWidth="1"/>
    <col min="8" max="8" width="3.57421875" style="0" customWidth="1"/>
  </cols>
  <sheetData>
    <row r="1" spans="1:11" ht="15.75">
      <c r="A1" s="2"/>
      <c r="C1" s="438" t="s">
        <v>535</v>
      </c>
      <c r="D1" s="439"/>
      <c r="E1" s="439"/>
      <c r="F1" s="439"/>
      <c r="G1" s="439"/>
      <c r="H1" s="439"/>
      <c r="I1" s="439"/>
      <c r="J1" s="439"/>
      <c r="K1" s="439"/>
    </row>
    <row r="3" spans="1:7" ht="12.75">
      <c r="A3" s="1" t="s">
        <v>79</v>
      </c>
      <c r="D3" s="440" t="s">
        <v>112</v>
      </c>
      <c r="E3" s="440"/>
      <c r="F3" s="440"/>
      <c r="G3" s="440"/>
    </row>
    <row r="4" spans="4:11" ht="12.75">
      <c r="D4">
        <v>2002</v>
      </c>
      <c r="E4" s="3">
        <v>2003</v>
      </c>
      <c r="F4" s="3">
        <v>2004</v>
      </c>
      <c r="G4" s="3">
        <v>2005</v>
      </c>
      <c r="I4" s="43" t="s">
        <v>81</v>
      </c>
      <c r="J4" s="44" t="s">
        <v>82</v>
      </c>
      <c r="K4" s="45" t="s">
        <v>83</v>
      </c>
    </row>
    <row r="5" spans="1:11" ht="12.75">
      <c r="A5" t="s">
        <v>15</v>
      </c>
      <c r="C5" t="s">
        <v>72</v>
      </c>
      <c r="D5" s="71"/>
      <c r="E5" s="71">
        <f>(AP_App_B1!D27-AP_App_B1!C27)/AP_App_B1!C27</f>
        <v>1.0324949338419358</v>
      </c>
      <c r="F5" s="71">
        <f>(AP_App_B1!E27-AP_App_B1!D27)/AP_App_B1!D27</f>
        <v>1.1545869353571137</v>
      </c>
      <c r="G5" s="71">
        <f>(AP_App_B1!F27-AP_App_B1!E27)/AP_App_B1!E27</f>
        <v>0.3734817758662929</v>
      </c>
      <c r="I5" s="14">
        <f>AVERAGE(E5:G5)</f>
        <v>0.8535212150217809</v>
      </c>
      <c r="J5" s="18">
        <f aca="true" t="shared" si="0" ref="J5:J19">MIN(D5:G5)</f>
        <v>0.3734817758662929</v>
      </c>
      <c r="K5" s="15">
        <f aca="true" t="shared" si="1" ref="K5:K19">MAX(D5:G5)</f>
        <v>1.1545869353571137</v>
      </c>
    </row>
    <row r="6" spans="1:11" ht="12.75">
      <c r="A6" t="s">
        <v>17</v>
      </c>
      <c r="C6" t="s">
        <v>84</v>
      </c>
      <c r="D6" s="71">
        <f>AP_App_B1!C31/AP_App_B1!C27</f>
        <v>0.6168792466324949</v>
      </c>
      <c r="E6" s="71">
        <f>AP_App_B1!D31/AP_App_B1!D27</f>
        <v>0.6099492099984751</v>
      </c>
      <c r="F6" s="71">
        <f>AP_App_B1!E31/AP_App_B1!E27</f>
        <v>0.5857854479135476</v>
      </c>
      <c r="G6" s="71">
        <f>AP_App_B1!F31/AP_App_B1!F27</f>
        <v>0.5940829528158295</v>
      </c>
      <c r="I6" s="16">
        <f aca="true" t="shared" si="2" ref="I6:I19">AVERAGE(D6:G6)</f>
        <v>0.6016742143400868</v>
      </c>
      <c r="J6" s="19">
        <f t="shared" si="0"/>
        <v>0.5857854479135476</v>
      </c>
      <c r="K6" s="17">
        <f t="shared" si="1"/>
        <v>0.6168792466324949</v>
      </c>
    </row>
    <row r="7" spans="1:11" ht="12.75">
      <c r="A7" t="s">
        <v>16</v>
      </c>
      <c r="C7" t="s">
        <v>85</v>
      </c>
      <c r="D7" s="71">
        <f>AP_App_B1!C30/AP_App_B1!C52</f>
        <v>0.2778761061946903</v>
      </c>
      <c r="E7" s="71">
        <f>AP_App_B1!D30/AP_App_B1!D52</f>
        <v>0.4620860414732281</v>
      </c>
      <c r="F7" s="71">
        <f>AP_App_B1!E30/AP_App_B1!E52</f>
        <v>0.27111506524317913</v>
      </c>
      <c r="G7" s="71">
        <f>AP_App_B1!F30/AP_App_B1!F52</f>
        <v>0.3128627345120799</v>
      </c>
      <c r="I7" s="16">
        <f t="shared" si="2"/>
        <v>0.33098498685579436</v>
      </c>
      <c r="J7" s="19">
        <f t="shared" si="0"/>
        <v>0.27111506524317913</v>
      </c>
      <c r="K7" s="17">
        <f t="shared" si="1"/>
        <v>0.4620860414732281</v>
      </c>
    </row>
    <row r="8" spans="1:11" ht="12.75">
      <c r="A8" t="s">
        <v>18</v>
      </c>
      <c r="C8" t="s">
        <v>86</v>
      </c>
      <c r="D8" s="71">
        <f>AP_App_B1!C34/AP_App_B1!C27</f>
        <v>0.15019668613660744</v>
      </c>
      <c r="E8" s="71">
        <f>AP_App_B1!D34/AP_App_B1!D27</f>
        <v>0.14955485437462612</v>
      </c>
      <c r="F8" s="71">
        <f>AP_App_B1!E34/AP_App_B1!E27</f>
        <v>0.15025723385143044</v>
      </c>
      <c r="G8" s="71">
        <f>AP_App_B1!F34/AP_App_B1!F27</f>
        <v>0.14982876712328766</v>
      </c>
      <c r="I8" s="16">
        <f t="shared" si="2"/>
        <v>0.1499593853714879</v>
      </c>
      <c r="J8" s="19">
        <f t="shared" si="0"/>
        <v>0.14955485437462612</v>
      </c>
      <c r="K8" s="17">
        <f t="shared" si="1"/>
        <v>0.15025723385143044</v>
      </c>
    </row>
    <row r="9" spans="1:11" ht="12.75">
      <c r="A9" t="s">
        <v>19</v>
      </c>
      <c r="C9" t="s">
        <v>87</v>
      </c>
      <c r="D9" s="71">
        <f>AP_App_B1!C35/AP_App_B1!C27</f>
        <v>0.13338896173560613</v>
      </c>
      <c r="E9" s="71">
        <f>AP_App_B1!D35/AP_App_B1!D27</f>
        <v>0.13204227417216988</v>
      </c>
      <c r="F9" s="71">
        <f>AP_App_B1!E35/AP_App_B1!E27</f>
        <v>0.12823039442523884</v>
      </c>
      <c r="G9" s="71">
        <f>AP_App_B1!F35/AP_App_B1!F27</f>
        <v>0.1689933726534754</v>
      </c>
      <c r="I9" s="16">
        <f t="shared" si="2"/>
        <v>0.14066375074662255</v>
      </c>
      <c r="J9" s="19">
        <f t="shared" si="0"/>
        <v>0.12823039442523884</v>
      </c>
      <c r="K9" s="17">
        <f t="shared" si="1"/>
        <v>0.1689933726534754</v>
      </c>
    </row>
    <row r="10" spans="1:11" ht="12.75">
      <c r="A10" t="s">
        <v>20</v>
      </c>
      <c r="C10" t="s">
        <v>88</v>
      </c>
      <c r="D10" s="71">
        <f>AP_App_B1!C40/AP_App_B1!C48</f>
        <v>0</v>
      </c>
      <c r="E10" s="71">
        <f>AP_App_B1!D40/AP_App_B1!D48</f>
        <v>0</v>
      </c>
      <c r="F10" s="71">
        <f>AP_App_B1!E40/AP_App_B1!E48</f>
        <v>0.016399876071465456</v>
      </c>
      <c r="G10" s="71">
        <f>AP_App_B1!F40/AP_App_B1!F48</f>
        <v>0.08936398395971278</v>
      </c>
      <c r="I10" s="16">
        <f t="shared" si="2"/>
        <v>0.026440965007794557</v>
      </c>
      <c r="J10" s="19">
        <f t="shared" si="0"/>
        <v>0</v>
      </c>
      <c r="K10" s="17">
        <f t="shared" si="1"/>
        <v>0.08936398395971278</v>
      </c>
    </row>
    <row r="11" spans="1:11" ht="12.75">
      <c r="A11" t="s">
        <v>21</v>
      </c>
      <c r="C11" t="s">
        <v>89</v>
      </c>
      <c r="D11" s="71">
        <f>AP_App_B1!C41/AP_App_B1!C59</f>
        <v>0.06966666666666667</v>
      </c>
      <c r="E11" s="71">
        <f>AP_App_B1!D41/AP_App_B1!D59</f>
        <v>0.0712121212121212</v>
      </c>
      <c r="F11" s="71">
        <f>AP_App_B1!E41/AP_App_B1!E59</f>
        <v>0</v>
      </c>
      <c r="G11" s="71">
        <f>AP_App_B1!F41/AP_App_B1!F59</f>
        <v>0</v>
      </c>
      <c r="I11" s="16">
        <f t="shared" si="2"/>
        <v>0.03521969696969697</v>
      </c>
      <c r="J11" s="19">
        <f t="shared" si="0"/>
        <v>0</v>
      </c>
      <c r="K11" s="17">
        <f t="shared" si="1"/>
        <v>0.0712121212121212</v>
      </c>
    </row>
    <row r="12" spans="1:11" ht="12.75">
      <c r="A12" t="s">
        <v>90</v>
      </c>
      <c r="C12" t="s">
        <v>91</v>
      </c>
      <c r="D12" s="71">
        <f>AP_App_B1!C69</f>
        <v>0.18751822688830558</v>
      </c>
      <c r="E12" s="71">
        <f>AP_App_B1!D69</f>
        <v>0.22558309037900873</v>
      </c>
      <c r="F12" s="71">
        <f>AP_App_B1!E69</f>
        <v>0.27499505048505235</v>
      </c>
      <c r="G12" s="71">
        <f>AP_App_B1!F69</f>
        <v>0.28999628114540715</v>
      </c>
      <c r="I12" s="16">
        <f t="shared" si="2"/>
        <v>0.24452316222444342</v>
      </c>
      <c r="J12" s="19">
        <f t="shared" si="0"/>
        <v>0.18751822688830558</v>
      </c>
      <c r="K12" s="17">
        <f t="shared" si="1"/>
        <v>0.28999628114540715</v>
      </c>
    </row>
    <row r="13" spans="1:11" ht="12.75">
      <c r="A13" t="s">
        <v>121</v>
      </c>
      <c r="C13" t="s">
        <v>92</v>
      </c>
      <c r="D13" s="71">
        <f>AP_App_B1!C49/AP_App_B1!C27</f>
        <v>0.2954344975563237</v>
      </c>
      <c r="E13" s="71">
        <f>AP_App_B1!D49/AP_App_B1!D27</f>
        <v>0.1897997724420255</v>
      </c>
      <c r="F13" s="71">
        <f>AP_App_B1!E49/AP_App_B1!E27</f>
        <v>0.330418923700901</v>
      </c>
      <c r="G13" s="71">
        <f>AP_App_B1!F49/AP_App_B1!F27</f>
        <v>0.3398496955859969</v>
      </c>
      <c r="I13" s="16">
        <f t="shared" si="2"/>
        <v>0.28887572232131176</v>
      </c>
      <c r="J13" s="19">
        <f t="shared" si="0"/>
        <v>0.1897997724420255</v>
      </c>
      <c r="K13" s="17">
        <f t="shared" si="1"/>
        <v>0.3398496955859969</v>
      </c>
    </row>
    <row r="14" spans="1:11" ht="12.75">
      <c r="A14" t="s">
        <v>23</v>
      </c>
      <c r="C14" t="s">
        <v>93</v>
      </c>
      <c r="D14" s="71">
        <f>AP_App_B1!C55/AP_App_B1!C27</f>
        <v>0.6144951722493741</v>
      </c>
      <c r="E14" s="71">
        <f>AP_App_B1!D55/AP_App_B1!D27</f>
        <v>0.3026286464992434</v>
      </c>
      <c r="F14" s="71">
        <f>AP_App_B1!E55/AP_App_B1!E27</f>
        <v>0.3473337507145385</v>
      </c>
      <c r="G14" s="71">
        <f>AP_App_B1!F55/AP_App_B1!F27</f>
        <v>0.4005343099949264</v>
      </c>
      <c r="I14" s="16">
        <f>AVERAGE(D14:G14)</f>
        <v>0.41624796986452056</v>
      </c>
      <c r="J14" s="19">
        <f>MIN(D14:G14)</f>
        <v>0.3026286464992434</v>
      </c>
      <c r="K14" s="17">
        <f>MAX(D14:G14)</f>
        <v>0.6144951722493741</v>
      </c>
    </row>
    <row r="15" spans="1:11" ht="12.75">
      <c r="A15" t="s">
        <v>24</v>
      </c>
      <c r="C15" t="s">
        <v>94</v>
      </c>
      <c r="D15" s="71">
        <f>AP_App_B1!C52/AP_App_B1!C27</f>
        <v>0.09429014185242579</v>
      </c>
      <c r="E15" s="71">
        <f>AP_App_B1!D52/AP_App_B1!D27</f>
        <v>0.0757979191348105</v>
      </c>
      <c r="F15" s="71">
        <f>AP_App_B1!E52/AP_App_B1!E27</f>
        <v>0.0917875711135912</v>
      </c>
      <c r="G15" s="71">
        <f>AP_App_B1!F52/AP_App_B1!F27</f>
        <v>0.11746892440385591</v>
      </c>
      <c r="I15" s="16">
        <f t="shared" si="2"/>
        <v>0.09483613912617085</v>
      </c>
      <c r="J15" s="19">
        <f t="shared" si="0"/>
        <v>0.0757979191348105</v>
      </c>
      <c r="K15" s="17">
        <f t="shared" si="1"/>
        <v>0.11746892440385591</v>
      </c>
    </row>
    <row r="16" spans="1:11" ht="12.75">
      <c r="A16" t="s">
        <v>80</v>
      </c>
      <c r="C16" t="s">
        <v>95</v>
      </c>
      <c r="D16" s="71">
        <f>AP_App_B1!C48/AP_App_B1!C27</f>
        <v>0.060436285612111104</v>
      </c>
      <c r="E16" s="71">
        <f>AP_App_B1!D48/AP_App_B1!D27</f>
        <v>0.14605937620963486</v>
      </c>
      <c r="F16" s="71">
        <f>AP_App_B1!E48/AP_App_B1!E27</f>
        <v>0.5271524620954351</v>
      </c>
      <c r="G16" s="71">
        <f>AP_App_B1!F48/AP_App_B1!F27</f>
        <v>0.1700120497209538</v>
      </c>
      <c r="I16" s="16">
        <f t="shared" si="2"/>
        <v>0.22591504340953372</v>
      </c>
      <c r="J16" s="19">
        <f t="shared" si="0"/>
        <v>0.060436285612111104</v>
      </c>
      <c r="K16" s="17">
        <f t="shared" si="1"/>
        <v>0.5271524620954351</v>
      </c>
    </row>
    <row r="17" spans="1:11" ht="12.75">
      <c r="A17" t="s">
        <v>26</v>
      </c>
      <c r="C17" t="s">
        <v>111</v>
      </c>
      <c r="D17" s="71">
        <f>AP_App_B1!C57/AP_App_B1!C27</f>
        <v>0.2755751579449279</v>
      </c>
      <c r="E17" s="71">
        <f>AP_App_B1!D57/AP_App_B1!D27</f>
        <v>0.17473871887206316</v>
      </c>
      <c r="F17" s="71">
        <f>AP_App_B1!E57/AP_App_B1!E27</f>
        <v>0.24146773008138933</v>
      </c>
      <c r="G17" s="71">
        <f>AP_App_B1!F57/AP_App_B1!F27</f>
        <v>0.16542602105530188</v>
      </c>
      <c r="I17" s="16">
        <f t="shared" si="2"/>
        <v>0.21430190698842058</v>
      </c>
      <c r="J17" s="19">
        <f t="shared" si="0"/>
        <v>0.16542602105530188</v>
      </c>
      <c r="K17" s="17">
        <f t="shared" si="1"/>
        <v>0.2755751579449279</v>
      </c>
    </row>
    <row r="18" spans="1:11" ht="12.75">
      <c r="A18" t="s">
        <v>123</v>
      </c>
      <c r="C18" t="s">
        <v>147</v>
      </c>
      <c r="D18" s="71">
        <f>AP_App_B1!C76/AP_App_B1!C52</f>
        <v>0.7418457648546144</v>
      </c>
      <c r="E18" s="71">
        <f>AP_App_B1!D76/AP_App_B1!D52</f>
        <v>0.3879603837821108</v>
      </c>
      <c r="F18" s="71">
        <f>AP_App_B1!E76/AP_App_B1!E52</f>
        <v>0.6167259786476869</v>
      </c>
      <c r="G18" s="71">
        <f>AP_App_B1!F76/AP_App_B1!F52</f>
        <v>0.43109731407747337</v>
      </c>
      <c r="I18" s="16">
        <f t="shared" si="2"/>
        <v>0.5444073603404713</v>
      </c>
      <c r="J18" s="19">
        <f t="shared" si="0"/>
        <v>0.3879603837821108</v>
      </c>
      <c r="K18" s="17">
        <f t="shared" si="1"/>
        <v>0.7418457648546144</v>
      </c>
    </row>
    <row r="19" spans="1:11" ht="12.75">
      <c r="A19" t="s">
        <v>132</v>
      </c>
      <c r="C19" t="s">
        <v>562</v>
      </c>
      <c r="D19" s="71">
        <f>AP_App_B1!C59/AP_App_B1!C65</f>
        <v>0.22988505747126436</v>
      </c>
      <c r="E19" s="71">
        <f>AP_App_B1!D59/AP_App_B1!D65</f>
        <v>0.15682340206457746</v>
      </c>
      <c r="F19" s="71">
        <f>AP_App_B1!E59/AP_App_B1!E65</f>
        <v>4.646926567408252E-05</v>
      </c>
      <c r="G19" s="71">
        <f>AP_App_B1!F59/AP_App_B1!F65</f>
        <v>0.004889270610543023</v>
      </c>
      <c r="I19" s="20">
        <f t="shared" si="2"/>
        <v>0.09791104985301473</v>
      </c>
      <c r="J19" s="20">
        <f t="shared" si="0"/>
        <v>4.646926567408252E-05</v>
      </c>
      <c r="K19" s="20">
        <f t="shared" si="1"/>
        <v>0.22988505747126436</v>
      </c>
    </row>
    <row r="20" ht="18.75" customHeight="1">
      <c r="A20" t="s">
        <v>98</v>
      </c>
    </row>
    <row r="21" spans="1:2" ht="12.75">
      <c r="A21" t="s">
        <v>72</v>
      </c>
      <c r="B21" t="s">
        <v>505</v>
      </c>
    </row>
    <row r="22" ht="12.75">
      <c r="B22" t="s">
        <v>536</v>
      </c>
    </row>
    <row r="23" ht="12.75">
      <c r="B23" t="s">
        <v>0</v>
      </c>
    </row>
    <row r="24" ht="12.75">
      <c r="B24" t="s">
        <v>608</v>
      </c>
    </row>
    <row r="25" spans="1:2" ht="12.75">
      <c r="A25" t="s">
        <v>84</v>
      </c>
      <c r="B25" t="s">
        <v>457</v>
      </c>
    </row>
    <row r="26" ht="12.75">
      <c r="B26" t="s">
        <v>563</v>
      </c>
    </row>
    <row r="27" spans="1:2" ht="12.75">
      <c r="A27" t="s">
        <v>85</v>
      </c>
      <c r="B27" t="s">
        <v>1</v>
      </c>
    </row>
    <row r="28" spans="1:2" ht="12.75">
      <c r="A28" t="s">
        <v>86</v>
      </c>
      <c r="B28" t="s">
        <v>192</v>
      </c>
    </row>
    <row r="29" spans="1:2" ht="12.75">
      <c r="A29" t="s">
        <v>87</v>
      </c>
      <c r="B29" t="s">
        <v>458</v>
      </c>
    </row>
    <row r="30" ht="12.75">
      <c r="B30" t="s">
        <v>628</v>
      </c>
    </row>
    <row r="31" spans="1:2" ht="12.75">
      <c r="A31" t="s">
        <v>88</v>
      </c>
      <c r="B31" t="s">
        <v>154</v>
      </c>
    </row>
    <row r="32" spans="1:2" ht="12.75">
      <c r="A32" t="s">
        <v>89</v>
      </c>
      <c r="B32" t="s">
        <v>155</v>
      </c>
    </row>
    <row r="33" spans="2:9" ht="12.75">
      <c r="B33" s="441" t="s">
        <v>609</v>
      </c>
      <c r="C33" s="441"/>
      <c r="D33" s="441"/>
      <c r="E33" s="441"/>
      <c r="F33" s="441"/>
      <c r="G33" s="441"/>
      <c r="H33" s="441"/>
      <c r="I33" s="441"/>
    </row>
    <row r="34" spans="1:2" ht="12.75">
      <c r="A34" t="s">
        <v>91</v>
      </c>
      <c r="B34" t="s">
        <v>610</v>
      </c>
    </row>
    <row r="35" ht="12.75">
      <c r="B35" t="s">
        <v>197</v>
      </c>
    </row>
    <row r="36" spans="1:2" ht="12.75">
      <c r="A36" t="s">
        <v>92</v>
      </c>
      <c r="B36" t="s">
        <v>195</v>
      </c>
    </row>
    <row r="37" spans="1:10" ht="12.75">
      <c r="A37" t="s">
        <v>194</v>
      </c>
      <c r="B37" t="s">
        <v>564</v>
      </c>
      <c r="J37" t="s">
        <v>611</v>
      </c>
    </row>
    <row r="38" ht="12.75">
      <c r="B38" t="s">
        <v>537</v>
      </c>
    </row>
    <row r="39" ht="12.75">
      <c r="B39" t="s">
        <v>538</v>
      </c>
    </row>
    <row r="40" spans="1:2" ht="12.75">
      <c r="A40" t="s">
        <v>94</v>
      </c>
      <c r="B40" t="s">
        <v>266</v>
      </c>
    </row>
    <row r="41" ht="12.75">
      <c r="B41" t="s">
        <v>267</v>
      </c>
    </row>
    <row r="42" spans="1:2" ht="12.75">
      <c r="A42" t="s">
        <v>95</v>
      </c>
      <c r="B42" t="s">
        <v>459</v>
      </c>
    </row>
    <row r="43" ht="12.75">
      <c r="B43" t="s">
        <v>460</v>
      </c>
    </row>
    <row r="44" ht="12.75">
      <c r="B44" t="s">
        <v>539</v>
      </c>
    </row>
    <row r="45" spans="1:2" ht="12.75">
      <c r="A45" t="s">
        <v>111</v>
      </c>
      <c r="B45" t="s">
        <v>2</v>
      </c>
    </row>
    <row r="46" ht="12.75">
      <c r="B46" t="s">
        <v>3</v>
      </c>
    </row>
    <row r="47" spans="1:2" ht="12.75">
      <c r="A47" t="s">
        <v>147</v>
      </c>
      <c r="B47" t="s">
        <v>4</v>
      </c>
    </row>
    <row r="48" ht="12.75">
      <c r="B48" t="s">
        <v>202</v>
      </c>
    </row>
    <row r="49" spans="1:11" ht="12.75">
      <c r="A49" t="s">
        <v>562</v>
      </c>
      <c r="B49" s="441" t="s">
        <v>612</v>
      </c>
      <c r="C49" s="441"/>
      <c r="D49" s="441"/>
      <c r="E49" s="441"/>
      <c r="F49" s="441"/>
      <c r="G49" s="441"/>
      <c r="H49" s="441"/>
      <c r="I49" s="441"/>
      <c r="J49" s="441"/>
      <c r="K49" s="441"/>
    </row>
  </sheetData>
  <sheetProtection/>
  <mergeCells count="4">
    <mergeCell ref="D3:G3"/>
    <mergeCell ref="C1:K1"/>
    <mergeCell ref="B33:I33"/>
    <mergeCell ref="B49:K49"/>
  </mergeCells>
  <printOptions/>
  <pageMargins left="0.75" right="0.75" top="1.59" bottom="0.6" header="1.02" footer="0.33"/>
  <pageSetup horizontalDpi="600" verticalDpi="600" orientation="landscape" scale="75" r:id="rId1"/>
  <headerFooter alignWithMargins="0">
    <oddHeader>&amp;C&amp;"Arial,Bold"&amp;14Acquisition Plan - JAKKS
Historical Rates and Explanations for Rates Used in Forecast / Valuation JAKKS&amp;R&amp;UAppendix B-2</oddHeader>
    <oddFooter>&amp;LAcquisition Plan JAKKS&amp;C&amp;F&amp;R&amp;D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1.8515625" style="0" customWidth="1"/>
    <col min="3" max="3" width="9.28125" style="0" customWidth="1"/>
    <col min="4" max="4" width="10.28125" style="0" bestFit="1" customWidth="1"/>
    <col min="5" max="7" width="6.28125" style="0" bestFit="1" customWidth="1"/>
    <col min="8" max="8" width="24.00390625" style="0" customWidth="1"/>
    <col min="9" max="9" width="8.7109375" style="0" bestFit="1" customWidth="1"/>
    <col min="10" max="10" width="10.7109375" style="0" customWidth="1"/>
    <col min="11" max="11" width="10.421875" style="0" customWidth="1"/>
    <col min="12" max="12" width="8.7109375" style="0" bestFit="1" customWidth="1"/>
    <col min="13" max="13" width="10.28125" style="0" bestFit="1" customWidth="1"/>
  </cols>
  <sheetData>
    <row r="1" spans="2:11" ht="12.75">
      <c r="B1" s="438" t="s">
        <v>439</v>
      </c>
      <c r="C1" s="439"/>
      <c r="D1" s="439"/>
      <c r="E1" s="439"/>
      <c r="F1" s="439"/>
      <c r="G1" s="439"/>
      <c r="H1" s="439"/>
      <c r="I1" s="439"/>
      <c r="J1" s="439"/>
      <c r="K1" s="439"/>
    </row>
    <row r="2" spans="1:11" ht="12.75">
      <c r="A2" s="448" t="s">
        <v>605</v>
      </c>
      <c r="B2" s="441"/>
      <c r="C2" s="441"/>
      <c r="D2" s="441"/>
      <c r="J2" s="442" t="s">
        <v>613</v>
      </c>
      <c r="K2" s="443"/>
    </row>
    <row r="3" spans="1:11" ht="38.25">
      <c r="A3" t="s">
        <v>124</v>
      </c>
      <c r="D3" s="72">
        <v>0.095</v>
      </c>
      <c r="H3" s="8" t="s">
        <v>265</v>
      </c>
      <c r="I3" s="89" t="s">
        <v>181</v>
      </c>
      <c r="J3" s="34" t="s">
        <v>475</v>
      </c>
      <c r="K3" s="33" t="s">
        <v>476</v>
      </c>
    </row>
    <row r="4" spans="1:12" ht="12.75">
      <c r="A4" t="s">
        <v>125</v>
      </c>
      <c r="D4" s="72">
        <v>0.0524</v>
      </c>
      <c r="H4" t="s">
        <v>174</v>
      </c>
      <c r="I4">
        <v>14.5</v>
      </c>
      <c r="J4" s="6">
        <f>J10/BP_App_B1!F69</f>
        <v>17.734611720071097</v>
      </c>
      <c r="K4">
        <v>6.1</v>
      </c>
      <c r="L4" t="s">
        <v>84</v>
      </c>
    </row>
    <row r="5" spans="1:12" ht="12.75">
      <c r="A5" t="s">
        <v>126</v>
      </c>
      <c r="D5" s="72">
        <v>0.0634</v>
      </c>
      <c r="H5" t="s">
        <v>175</v>
      </c>
      <c r="I5">
        <v>1.5</v>
      </c>
      <c r="J5" s="6">
        <f>J10/(BP_App_B1!F26/BP_App_B1!F67)</f>
        <v>1.32728752221675</v>
      </c>
      <c r="K5" s="92">
        <v>0.73</v>
      </c>
      <c r="L5" t="s">
        <v>84</v>
      </c>
    </row>
    <row r="6" spans="1:12" ht="12.75">
      <c r="A6" t="s">
        <v>127</v>
      </c>
      <c r="D6" s="72">
        <v>0.064</v>
      </c>
      <c r="H6" t="s">
        <v>176</v>
      </c>
      <c r="I6" s="38">
        <v>0.5</v>
      </c>
      <c r="J6" s="38">
        <f>BP_App_B1!F58/BP_App_B1!F64</f>
        <v>0.885404789053592</v>
      </c>
      <c r="K6" s="38">
        <v>0.007</v>
      </c>
      <c r="L6" t="s">
        <v>84</v>
      </c>
    </row>
    <row r="7" spans="1:12" ht="12.75">
      <c r="A7" t="s">
        <v>128</v>
      </c>
      <c r="D7" s="72">
        <v>0.063</v>
      </c>
      <c r="H7" t="s">
        <v>177</v>
      </c>
      <c r="I7" s="11">
        <v>0.126</v>
      </c>
      <c r="J7" s="11">
        <v>0.047</v>
      </c>
      <c r="K7" s="11">
        <v>0.151</v>
      </c>
      <c r="L7" t="s">
        <v>72</v>
      </c>
    </row>
    <row r="8" spans="1:12" ht="12.75">
      <c r="A8" t="s">
        <v>307</v>
      </c>
      <c r="D8" s="72">
        <v>0.083</v>
      </c>
      <c r="H8" t="s">
        <v>178</v>
      </c>
      <c r="I8" s="11">
        <v>0.173</v>
      </c>
      <c r="J8" s="11">
        <v>0.081</v>
      </c>
      <c r="K8" s="11">
        <v>0.162</v>
      </c>
      <c r="L8" t="s">
        <v>72</v>
      </c>
    </row>
    <row r="10" spans="1:11" ht="12.75">
      <c r="A10" s="1" t="s">
        <v>540</v>
      </c>
      <c r="H10" t="s">
        <v>179</v>
      </c>
      <c r="J10" s="41">
        <v>14.55</v>
      </c>
      <c r="K10" s="41">
        <v>9.13</v>
      </c>
    </row>
    <row r="11" spans="1:11" ht="12.75">
      <c r="A11" t="s">
        <v>130</v>
      </c>
      <c r="D11" s="72">
        <f>D4</f>
        <v>0.0524</v>
      </c>
      <c r="H11" t="s">
        <v>7</v>
      </c>
      <c r="J11" s="41">
        <v>16.03</v>
      </c>
      <c r="K11" s="41">
        <v>14.25</v>
      </c>
    </row>
    <row r="12" spans="1:8" ht="12.75">
      <c r="A12" t="s">
        <v>461</v>
      </c>
      <c r="D12" s="49">
        <v>1.51</v>
      </c>
      <c r="H12" s="8"/>
    </row>
    <row r="13" spans="1:4" ht="12.75">
      <c r="A13" t="s">
        <v>131</v>
      </c>
      <c r="D13" s="72">
        <v>0.055</v>
      </c>
    </row>
    <row r="14" spans="1:4" ht="12.75">
      <c r="A14" t="s">
        <v>462</v>
      </c>
      <c r="D14" s="93">
        <f>D11+(D12*D13)</f>
        <v>0.13545000000000001</v>
      </c>
    </row>
    <row r="15" spans="1:4" ht="12.75">
      <c r="A15" t="s">
        <v>5</v>
      </c>
      <c r="D15" s="81">
        <v>0</v>
      </c>
    </row>
    <row r="16" spans="1:4" ht="12.75">
      <c r="A16" t="s">
        <v>6</v>
      </c>
      <c r="D16" s="81">
        <v>0.31</v>
      </c>
    </row>
    <row r="17" spans="1:4" ht="12.75">
      <c r="A17" t="s">
        <v>133</v>
      </c>
      <c r="D17" s="94">
        <f>D12*(1+(1-D16)*(D15))</f>
        <v>1.51</v>
      </c>
    </row>
    <row r="19" ht="12.75">
      <c r="A19" s="1" t="s">
        <v>193</v>
      </c>
    </row>
    <row r="20" spans="1:4" ht="12.75">
      <c r="A20" t="s">
        <v>134</v>
      </c>
      <c r="D20" s="72">
        <v>0.0721</v>
      </c>
    </row>
    <row r="21" spans="3:13" s="1" customFormat="1" ht="12.75">
      <c r="C21" s="50">
        <v>2006</v>
      </c>
      <c r="D21" s="50">
        <v>2007</v>
      </c>
      <c r="E21" s="50">
        <v>2008</v>
      </c>
      <c r="F21" s="50">
        <v>2009</v>
      </c>
      <c r="G21" s="50">
        <v>2010</v>
      </c>
      <c r="H21" s="50"/>
      <c r="I21" s="50"/>
      <c r="J21" s="50"/>
      <c r="K21" s="50"/>
      <c r="L21" s="50"/>
      <c r="M21" s="50"/>
    </row>
    <row r="22" spans="2:13" s="51" customFormat="1" ht="12.75">
      <c r="B22" s="55" t="s">
        <v>140</v>
      </c>
      <c r="C22" s="56">
        <v>0.0775</v>
      </c>
      <c r="D22" s="56">
        <v>0.0775</v>
      </c>
      <c r="E22" s="56">
        <v>0.0775</v>
      </c>
      <c r="F22" s="56">
        <v>0.0775</v>
      </c>
      <c r="G22" s="56">
        <v>0.0775</v>
      </c>
      <c r="H22" s="56"/>
      <c r="I22" s="56"/>
      <c r="J22" s="56"/>
      <c r="K22" s="56"/>
      <c r="L22" s="56"/>
      <c r="M22" s="52"/>
    </row>
    <row r="23" spans="2:13" s="53" customFormat="1" ht="12.75">
      <c r="B23" s="55" t="s">
        <v>139</v>
      </c>
      <c r="C23" s="54">
        <v>1400</v>
      </c>
      <c r="D23" s="54">
        <f>C23-C24</f>
        <v>1000</v>
      </c>
      <c r="E23" s="54">
        <f>D23-D24</f>
        <v>600</v>
      </c>
      <c r="F23" s="54">
        <f>E23-E24</f>
        <v>200</v>
      </c>
      <c r="G23" s="54">
        <f>F23-F24</f>
        <v>0</v>
      </c>
      <c r="H23" s="54"/>
      <c r="I23" s="54"/>
      <c r="J23" s="54"/>
      <c r="K23" s="54"/>
      <c r="L23" s="54"/>
      <c r="M23" s="54"/>
    </row>
    <row r="24" spans="1:13" ht="12.75">
      <c r="A24" t="s">
        <v>137</v>
      </c>
      <c r="B24" s="55" t="s">
        <v>135</v>
      </c>
      <c r="C24" s="74">
        <v>400</v>
      </c>
      <c r="D24" s="74">
        <v>400</v>
      </c>
      <c r="E24" s="74">
        <v>400</v>
      </c>
      <c r="F24" s="74">
        <v>200</v>
      </c>
      <c r="G24" s="74">
        <v>200</v>
      </c>
      <c r="H24" s="74"/>
      <c r="I24" s="74"/>
      <c r="J24" s="74"/>
      <c r="K24" s="74"/>
      <c r="L24" s="74"/>
      <c r="M24" s="74"/>
    </row>
    <row r="25" spans="2:12" ht="12.75">
      <c r="B25" s="55" t="s">
        <v>136</v>
      </c>
      <c r="C25" s="74">
        <f>((C23+D23)/2)*C22</f>
        <v>93</v>
      </c>
      <c r="D25" s="74">
        <f>((D23+E23)/2)*D22</f>
        <v>62</v>
      </c>
      <c r="E25" s="74">
        <f>((E23+F23)/2)*E22</f>
        <v>31</v>
      </c>
      <c r="F25" s="74">
        <f>((F23+G23)/2)*F22</f>
        <v>7.75</v>
      </c>
      <c r="G25" s="74">
        <f>((G23+H23)/2)*G22</f>
        <v>0</v>
      </c>
      <c r="H25" s="74"/>
      <c r="I25" s="74"/>
      <c r="J25" s="74"/>
      <c r="K25" s="74"/>
      <c r="L25" s="74"/>
    </row>
    <row r="26" spans="1:12" ht="12.75">
      <c r="A26" t="s">
        <v>141</v>
      </c>
      <c r="C26" s="10">
        <f>C24+C25</f>
        <v>493</v>
      </c>
      <c r="D26" s="10">
        <f>D24+D25</f>
        <v>462</v>
      </c>
      <c r="E26" s="10">
        <f>E24+E25</f>
        <v>431</v>
      </c>
      <c r="F26" s="10">
        <f>F24+F25</f>
        <v>207.75</v>
      </c>
      <c r="G26" s="10">
        <f>G24+G25</f>
        <v>200</v>
      </c>
      <c r="H26" s="10"/>
      <c r="I26" s="10"/>
      <c r="J26" s="10"/>
      <c r="K26" s="10"/>
      <c r="L26" s="10"/>
    </row>
    <row r="27" spans="1:3" ht="12.75">
      <c r="A27" t="s">
        <v>142</v>
      </c>
      <c r="C27" s="37">
        <f>NPV(D20,C26:F26)</f>
        <v>1368.808891849901</v>
      </c>
    </row>
    <row r="29" ht="12.75">
      <c r="A29" t="s">
        <v>98</v>
      </c>
    </row>
    <row r="30" ht="12.75">
      <c r="A30" t="s">
        <v>180</v>
      </c>
    </row>
    <row r="31" ht="12.75">
      <c r="A31" t="s">
        <v>182</v>
      </c>
    </row>
  </sheetData>
  <sheetProtection/>
  <mergeCells count="3">
    <mergeCell ref="J2:K2"/>
    <mergeCell ref="B1:K1"/>
    <mergeCell ref="A2:D2"/>
  </mergeCells>
  <printOptions/>
  <pageMargins left="0.75" right="0.75" top="1.92" bottom="1" header="1.22" footer="0.5"/>
  <pageSetup fitToHeight="1" fitToWidth="1" horizontalDpi="300" verticalDpi="300" orientation="landscape" scale="99" r:id="rId1"/>
  <headerFooter alignWithMargins="0">
    <oddHeader>&amp;C&amp;"Arial,Bold"&amp;14Acquisition Plan - JAKKS
Supplemental Financial Data JAKKS&amp;R&amp;UAppendix B-3</oddHeader>
    <oddFooter>&amp;LAcquisition Plan JAKKS&amp;C&amp;F&amp;R&amp;D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Y160"/>
  <sheetViews>
    <sheetView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" sqref="I5"/>
    </sheetView>
  </sheetViews>
  <sheetFormatPr defaultColWidth="9.140625" defaultRowHeight="12.75"/>
  <cols>
    <col min="1" max="1" width="31.421875" style="0" customWidth="1"/>
    <col min="2" max="2" width="4.140625" style="0" customWidth="1"/>
    <col min="3" max="11" width="11.7109375" style="0" customWidth="1"/>
  </cols>
  <sheetData>
    <row r="1" spans="3:11" ht="12.75">
      <c r="C1" s="438" t="s">
        <v>565</v>
      </c>
      <c r="D1" s="439"/>
      <c r="E1" s="439"/>
      <c r="F1" s="439"/>
      <c r="G1" s="439"/>
      <c r="H1" s="439"/>
      <c r="I1" s="439"/>
      <c r="J1" s="439"/>
      <c r="K1" s="439"/>
    </row>
    <row r="2" spans="1:2" s="2" customFormat="1" ht="15.75">
      <c r="A2" s="2" t="s">
        <v>8</v>
      </c>
      <c r="B2" s="4"/>
    </row>
    <row r="4" spans="1:12" ht="12.75">
      <c r="A4" s="8" t="s">
        <v>595</v>
      </c>
      <c r="G4" s="13">
        <v>2006</v>
      </c>
      <c r="H4" s="13">
        <v>2007</v>
      </c>
      <c r="I4" s="13">
        <v>2008</v>
      </c>
      <c r="J4" s="13">
        <v>2009</v>
      </c>
      <c r="K4" s="13">
        <v>2010</v>
      </c>
      <c r="L4" s="3" t="s">
        <v>541</v>
      </c>
    </row>
    <row r="5" spans="1:13" ht="12.75">
      <c r="A5" t="s">
        <v>231</v>
      </c>
      <c r="G5" s="78">
        <f>(0.5*AP_App_D!F6)+(0.5*AP_App_D!F10)-(0.5*AP_App_D!F15)+AP_App_D!F22+(0.25*AP_App_D!F25)+(0.5*AP_App_D!F26)+(0.25*AP_App_D!F34)</f>
        <v>3.85625</v>
      </c>
      <c r="H5" s="78">
        <f>(0.5*AP_App_D!G6)+(0.5*AP_App_D!G10)-(0.5*AP_App_D!G15)+AP_App_D!G22+(0.25*AP_App_D!G25)+(0.5*AP_App_D!G26)+(0.25*AP_App_D!G34)</f>
        <v>10.774999999999999</v>
      </c>
      <c r="I5" s="78">
        <f>(0.5*AP_App_D!H6)+(0.5*AP_App_D!H10)-(0.5*AP_App_D!H15)+AP_App_D!H22+(0.25*AP_App_D!H25)+(0.5*AP_App_D!H26)+(0.25*AP_App_D!H34)</f>
        <v>13.774999999999999</v>
      </c>
      <c r="J5" s="78">
        <f>(0.5*AP_App_D!I6)+(0.5*AP_App_D!I10)-(0.5*AP_App_D!I15)+AP_App_D!I22+(0.25*AP_App_D!I25)+(0.5*AP_App_D!I26)+(0.25*AP_App_D!I34)</f>
        <v>13.774999999999999</v>
      </c>
      <c r="K5" s="78">
        <f>(0.5*AP_App_D!J6)+(0.5*AP_App_D!J10)-(0.5*AP_App_D!J15)+AP_App_D!J22+(0.25*AP_App_D!J25)+(0.5*AP_App_D!J26)+(0.25*AP_App_D!J34)</f>
        <v>14.274999999999999</v>
      </c>
      <c r="L5" s="121">
        <f>SUM(G5:K5)</f>
        <v>56.45624999999999</v>
      </c>
      <c r="M5" s="21"/>
    </row>
    <row r="6" spans="1:13" ht="12.75">
      <c r="A6" t="s">
        <v>232</v>
      </c>
      <c r="G6" s="78">
        <f>(0.5*AP_App_D!F6)+(0.5*AP_App_D!F10)-(0.5*AP_App_D!F15)+(0.25*AP_App_D!F25)+(0.5*AP_App_D!F26)+AP_App_D!F27+AP_App_D!F28</f>
        <v>1.63125</v>
      </c>
      <c r="H6" s="78">
        <f>(0.5*AP_App_D!G6)+(0.5*AP_App_D!G10)-(0.5*AP_App_D!G15)+(0.25*AP_App_D!G25)+(0.5*AP_App_D!G26)+AP_App_D!G27+AP_App_D!G28</f>
        <v>3.325</v>
      </c>
      <c r="I6" s="78">
        <f>(0.5*AP_App_D!H6)+(0.5*AP_App_D!H10)-(0.5*AP_App_D!H15)+(0.25*AP_App_D!H25)+(0.5*AP_App_D!H26)+AP_App_D!H27+AP_App_D!H28</f>
        <v>3.325</v>
      </c>
      <c r="J6" s="78">
        <f>(0.5*AP_App_D!I6)+(0.5*AP_App_D!I10)-(0.5*AP_App_D!I15)+(0.25*AP_App_D!I25)+(0.5*AP_App_D!I26)+AP_App_D!I27+AP_App_D!I28</f>
        <v>3.325</v>
      </c>
      <c r="K6" s="78">
        <f>(0.5*AP_App_D!J6)+(0.5*AP_App_D!J10)-(0.5*AP_App_D!J15)+(0.25*AP_App_D!J25)+(0.5*AP_App_D!J26)+AP_App_D!J27+AP_App_D!J28</f>
        <v>3.325</v>
      </c>
      <c r="L6" s="121">
        <f>SUM(G6:K6)</f>
        <v>14.931249999999999</v>
      </c>
      <c r="M6" s="21"/>
    </row>
    <row r="7" spans="1:13" ht="12.75">
      <c r="A7" t="s">
        <v>233</v>
      </c>
      <c r="G7" s="78">
        <f>AP_App_D!F8+(0.5*AP_App_D!F25)+(0.75*AP_App_D!F34)</f>
        <v>1.6375</v>
      </c>
      <c r="H7" s="78">
        <f>AP_App_D!G8+(0.5*AP_App_D!G25)+(0.75*AP_App_D!G34)</f>
        <v>3.275</v>
      </c>
      <c r="I7" s="78">
        <f>AP_App_D!H8+(0.5*AP_App_D!H25)+(0.75*AP_App_D!H34)</f>
        <v>3.275</v>
      </c>
      <c r="J7" s="78">
        <f>AP_App_D!I8+(0.5*AP_App_D!I25)+(0.75*AP_App_D!I34)</f>
        <v>3.275</v>
      </c>
      <c r="K7" s="78">
        <f>AP_App_D!J8+(0.5*AP_App_D!J25)+(0.75*AP_App_D!J34)</f>
        <v>3.275</v>
      </c>
      <c r="L7" s="121">
        <f>SUM(G7:K7)</f>
        <v>14.7375</v>
      </c>
      <c r="M7" s="21"/>
    </row>
    <row r="8" spans="1:13" ht="12.75">
      <c r="A8" t="s">
        <v>183</v>
      </c>
      <c r="F8" s="72"/>
      <c r="G8" s="78">
        <f>-AP_App_D!F16-AP_App_D!F18-AP_App_D!F37-AP_App_D!F39</f>
        <v>-1.13875</v>
      </c>
      <c r="H8" s="78">
        <f>AP_App_D!G16+AP_App_D!G18+AP_App_D!G37</f>
        <v>0</v>
      </c>
      <c r="I8" s="78">
        <f>AP_App_D!H16+AP_App_D!H18+AP_App_D!H37</f>
        <v>0</v>
      </c>
      <c r="J8" s="78">
        <f>AP_App_D!I16+AP_App_D!I18+AP_App_D!I37</f>
        <v>0</v>
      </c>
      <c r="K8" s="78">
        <f>AP_App_D!J16+AP_App_D!J18+AP_App_D!J37</f>
        <v>0</v>
      </c>
      <c r="L8" s="121">
        <f>SUM(G8:K8)</f>
        <v>-1.13875</v>
      </c>
      <c r="M8" s="21"/>
    </row>
    <row r="9" spans="1:13" ht="13.5" thickBot="1">
      <c r="A9" t="s">
        <v>606</v>
      </c>
      <c r="C9" s="12">
        <f>BP_App_B1!C17</f>
        <v>0.11806699999999999</v>
      </c>
      <c r="D9" t="s">
        <v>72</v>
      </c>
      <c r="F9" s="72"/>
      <c r="G9" s="78"/>
      <c r="H9" s="78"/>
      <c r="I9" s="78"/>
      <c r="J9" s="78"/>
      <c r="K9" s="78"/>
      <c r="L9" s="122">
        <f>SUM(L5:L8)</f>
        <v>84.98624999999998</v>
      </c>
      <c r="M9" s="21"/>
    </row>
    <row r="10" spans="1:13" ht="13.5" thickTop="1">
      <c r="A10" t="s">
        <v>453</v>
      </c>
      <c r="C10" s="12">
        <f>BP_App_B1!C18</f>
        <v>0.10306699999999999</v>
      </c>
      <c r="D10" t="s">
        <v>72</v>
      </c>
      <c r="F10" s="72"/>
      <c r="G10" s="71"/>
      <c r="H10" s="71"/>
      <c r="I10" s="71"/>
      <c r="J10" s="71"/>
      <c r="K10" s="71"/>
      <c r="L10" s="21"/>
      <c r="M10" s="21"/>
    </row>
    <row r="11" spans="1:13" ht="12.75">
      <c r="A11" t="s">
        <v>96</v>
      </c>
      <c r="C11" s="11">
        <v>0.04</v>
      </c>
      <c r="D11" t="s">
        <v>72</v>
      </c>
      <c r="F11" s="72"/>
      <c r="G11" s="71"/>
      <c r="H11" s="71"/>
      <c r="I11" s="71"/>
      <c r="J11" s="71"/>
      <c r="K11" s="71"/>
      <c r="L11" s="21"/>
      <c r="M11" s="21"/>
    </row>
    <row r="12" spans="1:13" ht="12.75">
      <c r="A12" t="s">
        <v>28</v>
      </c>
      <c r="C12" s="37">
        <f>AP_App_B1!C21+BP_App_B1!C20</f>
        <v>1172.1311201703008</v>
      </c>
      <c r="F12" s="72"/>
      <c r="G12" s="71"/>
      <c r="H12" s="71"/>
      <c r="I12" s="71"/>
      <c r="J12" s="71"/>
      <c r="K12" s="71"/>
      <c r="L12" s="21"/>
      <c r="M12" s="21"/>
    </row>
    <row r="13" spans="6:13" ht="12.75">
      <c r="F13" s="72"/>
      <c r="G13" s="71"/>
      <c r="H13" s="71"/>
      <c r="I13" s="71"/>
      <c r="J13" s="71"/>
      <c r="K13" s="71"/>
      <c r="L13" s="21"/>
      <c r="M13" s="21"/>
    </row>
    <row r="14" spans="7:11" ht="12.75">
      <c r="G14" s="42"/>
      <c r="H14" s="42"/>
      <c r="I14" s="42"/>
      <c r="J14" s="42"/>
      <c r="K14" s="42"/>
    </row>
    <row r="16" spans="3:11" ht="12.75">
      <c r="C16" s="437" t="s">
        <v>31</v>
      </c>
      <c r="D16" s="437"/>
      <c r="E16" s="437"/>
      <c r="F16" s="437"/>
      <c r="G16" s="436" t="s">
        <v>30</v>
      </c>
      <c r="H16" s="436"/>
      <c r="I16" s="436"/>
      <c r="J16" s="436"/>
      <c r="K16" s="436"/>
    </row>
    <row r="17" spans="3:11" ht="12.75">
      <c r="C17">
        <v>2002</v>
      </c>
      <c r="D17" s="3">
        <v>2003</v>
      </c>
      <c r="E17" s="3">
        <v>2004</v>
      </c>
      <c r="F17" s="3">
        <v>2005</v>
      </c>
      <c r="G17" s="3">
        <v>2006</v>
      </c>
      <c r="H17" s="3">
        <v>2007</v>
      </c>
      <c r="I17" s="3">
        <v>2008</v>
      </c>
      <c r="J17" s="3">
        <v>2009</v>
      </c>
      <c r="K17" s="3">
        <v>2010</v>
      </c>
    </row>
    <row r="18" spans="1:2" ht="12.75">
      <c r="A18" s="1" t="s">
        <v>29</v>
      </c>
      <c r="B18" t="s">
        <v>72</v>
      </c>
    </row>
    <row r="19" spans="1:155" ht="12.75">
      <c r="A19" t="s">
        <v>622</v>
      </c>
      <c r="C19" s="74">
        <f>BP_App_B1!C26+AP_App_B1!C27</f>
        <v>4820.6449999999995</v>
      </c>
      <c r="D19" s="74">
        <f>BP_App_B1!D26+AP_App_B1!D27</f>
        <v>4783.553</v>
      </c>
      <c r="E19" s="74">
        <f>BP_App_B1!E26+AP_App_B1!E27</f>
        <v>4779.185</v>
      </c>
      <c r="F19" s="74">
        <f>BP_App_B1!F26+AP_App_B1!F27</f>
        <v>4922.188</v>
      </c>
      <c r="G19" s="74">
        <f>BP_App_B1!G26+AP_App_B1!G27</f>
        <v>5146.8272</v>
      </c>
      <c r="H19" s="74">
        <f>BP_App_B1!H26+AP_App_B1!H27</f>
        <v>5384.6147200000005</v>
      </c>
      <c r="I19" s="74">
        <f>BP_App_B1!I26+AP_App_B1!I27</f>
        <v>5620.0183616</v>
      </c>
      <c r="J19" s="74">
        <f>BP_App_B1!J26+AP_App_B1!J27</f>
        <v>5859.499734784002</v>
      </c>
      <c r="K19" s="74">
        <f>BP_App_B1!K26+AP_App_B1!K27</f>
        <v>6097.843496629762</v>
      </c>
      <c r="L19" s="75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</row>
    <row r="20" spans="1:155" ht="12.75">
      <c r="A20" t="s">
        <v>623</v>
      </c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</row>
    <row r="21" spans="1:155" ht="12.75">
      <c r="A21" t="s">
        <v>624</v>
      </c>
      <c r="C21" s="74">
        <f>C19+C20</f>
        <v>4820.6449999999995</v>
      </c>
      <c r="D21" s="74">
        <f aca="true" t="shared" si="0" ref="D21:K21">D19+D20</f>
        <v>4783.553</v>
      </c>
      <c r="E21" s="74">
        <f t="shared" si="0"/>
        <v>4779.185</v>
      </c>
      <c r="F21" s="74">
        <f t="shared" si="0"/>
        <v>4922.188</v>
      </c>
      <c r="G21" s="74">
        <f t="shared" si="0"/>
        <v>5146.8272</v>
      </c>
      <c r="H21" s="74">
        <f t="shared" si="0"/>
        <v>5384.6147200000005</v>
      </c>
      <c r="I21" s="74">
        <f t="shared" si="0"/>
        <v>5620.0183616</v>
      </c>
      <c r="J21" s="74">
        <f t="shared" si="0"/>
        <v>5859.499734784002</v>
      </c>
      <c r="K21" s="74">
        <f t="shared" si="0"/>
        <v>6097.843496629762</v>
      </c>
      <c r="L21" s="75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</row>
    <row r="22" spans="1:155" ht="12.75">
      <c r="A22" t="s">
        <v>33</v>
      </c>
      <c r="C22" s="74"/>
      <c r="D22" s="74"/>
      <c r="E22" s="74"/>
      <c r="F22" s="74"/>
      <c r="G22" s="74">
        <f>BP_App_B1!G27+AP_App_B1!G28</f>
        <v>0</v>
      </c>
      <c r="H22" s="74">
        <f>BP_App_B1!H27+AP_App_B1!H28</f>
        <v>0</v>
      </c>
      <c r="I22" s="74">
        <f>BP_App_B1!I27+AP_App_B1!I28</f>
        <v>0</v>
      </c>
      <c r="J22" s="74">
        <f>BP_App_B1!J27+AP_App_B1!J28</f>
        <v>0</v>
      </c>
      <c r="K22" s="74">
        <f>BP_App_B1!K27+AP_App_B1!K28</f>
        <v>0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</row>
    <row r="23" spans="1:155" ht="12.75">
      <c r="A23" t="s">
        <v>105</v>
      </c>
      <c r="C23" s="74">
        <f>BP_App_B1!C28+AP_App_B1!C29</f>
        <v>2339.3759999999997</v>
      </c>
      <c r="D23" s="74">
        <f>BP_App_B1!D28+AP_App_B1!D29</f>
        <v>2334.514</v>
      </c>
      <c r="E23" s="74">
        <f>BP_App_B1!E28+AP_App_B1!E29</f>
        <v>2435.529</v>
      </c>
      <c r="F23" s="74">
        <f>BP_App_B1!F28+AP_App_B1!F29</f>
        <v>2555.7580000000003</v>
      </c>
      <c r="G23" s="74">
        <f>BP_App_B1!G28+AP_App_B1!G29</f>
        <v>2620.1663660000004</v>
      </c>
      <c r="H23" s="74">
        <f>BP_App_B1!H28+AP_App_B1!H29</f>
        <v>2691.6246427200003</v>
      </c>
      <c r="I23" s="74">
        <f>BP_App_B1!I28+AP_App_B1!I29</f>
        <v>2784.0017304128</v>
      </c>
      <c r="J23" s="74">
        <f>BP_App_B1!J28+AP_App_B1!J29</f>
        <v>2876.6049995563526</v>
      </c>
      <c r="K23" s="74">
        <f>BP_App_B1!K28+AP_App_B1!K29</f>
        <v>2993.980078879522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</row>
    <row r="24" spans="1:155" ht="12.75">
      <c r="A24" t="s">
        <v>78</v>
      </c>
      <c r="C24" s="74">
        <f>BP_App_B1!C29+AP_App_B1!C30</f>
        <v>101.099</v>
      </c>
      <c r="D24" s="74">
        <f>BP_App_B1!D29+AP_App_B1!D30</f>
        <v>105.986</v>
      </c>
      <c r="E24" s="74">
        <f>BP_App_B1!E29+AP_App_B1!E30</f>
        <v>85.571</v>
      </c>
      <c r="F24" s="74">
        <f>BP_App_B1!F29+AP_App_B1!F30</f>
        <v>84.272</v>
      </c>
      <c r="G24" s="74">
        <f>BP_App_B1!G29+AP_App_B1!G30</f>
        <v>104.2580164</v>
      </c>
      <c r="H24" s="74">
        <f>BP_App_B1!H29+AP_App_B1!H30</f>
        <v>108.81131024000001</v>
      </c>
      <c r="I24" s="74">
        <f>BP_App_B1!I29+AP_App_B1!I30</f>
        <v>113.40399128320003</v>
      </c>
      <c r="J24" s="74">
        <f>BP_App_B1!J29+AP_App_B1!J30</f>
        <v>118.11631859916804</v>
      </c>
      <c r="K24" s="74">
        <f>BP_App_B1!K29+AP_App_B1!K30</f>
        <v>122.88853661258756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</row>
    <row r="25" spans="1:155" ht="12.75">
      <c r="A25" t="s">
        <v>244</v>
      </c>
      <c r="C25" s="74"/>
      <c r="D25" s="74"/>
      <c r="E25" s="74"/>
      <c r="F25" s="74"/>
      <c r="G25" s="74">
        <f>-G5</f>
        <v>-3.85625</v>
      </c>
      <c r="H25" s="74">
        <f>-H5</f>
        <v>-10.774999999999999</v>
      </c>
      <c r="I25" s="74">
        <f>-I5</f>
        <v>-13.774999999999999</v>
      </c>
      <c r="J25" s="74">
        <f>-J5</f>
        <v>-13.774999999999999</v>
      </c>
      <c r="K25" s="74">
        <f>-K5</f>
        <v>-14.274999999999999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</row>
    <row r="26" spans="1:155" ht="12.75">
      <c r="A26" t="s">
        <v>34</v>
      </c>
      <c r="C26" s="74">
        <f aca="true" t="shared" si="1" ref="C26:K26">SUM(C23:C25)</f>
        <v>2440.475</v>
      </c>
      <c r="D26" s="74">
        <f t="shared" si="1"/>
        <v>2440.5</v>
      </c>
      <c r="E26" s="74">
        <f t="shared" si="1"/>
        <v>2521.1</v>
      </c>
      <c r="F26" s="74">
        <f t="shared" si="1"/>
        <v>2640.03</v>
      </c>
      <c r="G26" s="74">
        <f t="shared" si="1"/>
        <v>2720.5681324000006</v>
      </c>
      <c r="H26" s="74">
        <f t="shared" si="1"/>
        <v>2789.6609529600005</v>
      </c>
      <c r="I26" s="74">
        <f t="shared" si="1"/>
        <v>2883.630721696</v>
      </c>
      <c r="J26" s="74">
        <f t="shared" si="1"/>
        <v>2980.9463181555207</v>
      </c>
      <c r="K26" s="74">
        <f t="shared" si="1"/>
        <v>3102.593615492109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</row>
    <row r="27" spans="1:155" ht="12.75">
      <c r="A27" t="s">
        <v>35</v>
      </c>
      <c r="C27" s="74">
        <f aca="true" t="shared" si="2" ref="C27:K27">C19-C26</f>
        <v>2380.1699999999996</v>
      </c>
      <c r="D27" s="74">
        <f t="shared" si="2"/>
        <v>2343.053</v>
      </c>
      <c r="E27" s="74">
        <f t="shared" si="2"/>
        <v>2258.0850000000005</v>
      </c>
      <c r="F27" s="74">
        <f t="shared" si="2"/>
        <v>2282.158</v>
      </c>
      <c r="G27" s="74">
        <f t="shared" si="2"/>
        <v>2426.259067599999</v>
      </c>
      <c r="H27" s="74">
        <f t="shared" si="2"/>
        <v>2594.95376704</v>
      </c>
      <c r="I27" s="74">
        <f t="shared" si="2"/>
        <v>2736.3876399040005</v>
      </c>
      <c r="J27" s="74">
        <f t="shared" si="2"/>
        <v>2878.553416628481</v>
      </c>
      <c r="K27" s="74">
        <f t="shared" si="2"/>
        <v>2995.2498811376527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</row>
    <row r="28" spans="1:155" ht="12.75">
      <c r="A28" t="s">
        <v>33</v>
      </c>
      <c r="C28" s="74"/>
      <c r="D28" s="74"/>
      <c r="E28" s="74"/>
      <c r="F28" s="74"/>
      <c r="G28" s="74">
        <f>BP_App_B1!G32+AP_App_B1!G33</f>
        <v>0</v>
      </c>
      <c r="H28" s="74">
        <f>BP_App_B1!H32+AP_App_B1!H33</f>
        <v>0</v>
      </c>
      <c r="I28" s="74">
        <f>BP_App_B1!I32+AP_App_B1!I33</f>
        <v>0</v>
      </c>
      <c r="J28" s="74">
        <f>BP_App_B1!J32+AP_App_B1!J33</f>
        <v>0</v>
      </c>
      <c r="K28" s="74">
        <f>BP_App_B1!K32+AP_App_B1!K33</f>
        <v>0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</row>
    <row r="29" spans="1:155" ht="12.75">
      <c r="A29" t="s">
        <v>36</v>
      </c>
      <c r="C29" s="74">
        <f>BP_App_B1!C33+AP_App_B1!C34</f>
        <v>767</v>
      </c>
      <c r="D29" s="74">
        <f>BP_App_B1!D33+AP_App_B1!D34</f>
        <v>799.15</v>
      </c>
      <c r="E29" s="74">
        <f>BP_App_B1!E33+AP_App_B1!E34</f>
        <v>712.1</v>
      </c>
      <c r="F29" s="74">
        <f>BP_App_B1!F33+AP_App_B1!F34</f>
        <v>718.8</v>
      </c>
      <c r="G29" s="74">
        <f>BP_App_B1!G33+AP_App_B1!G34</f>
        <v>747.7406</v>
      </c>
      <c r="H29" s="74">
        <f>BP_App_B1!H33+AP_App_B1!H34</f>
        <v>782.4373888</v>
      </c>
      <c r="I29" s="74">
        <f>BP_App_B1!I33+AP_App_B1!I34</f>
        <v>816.737742272</v>
      </c>
      <c r="J29" s="74">
        <f>BP_App_B1!J33+AP_App_B1!J34</f>
        <v>851.6093477708802</v>
      </c>
      <c r="K29" s="74">
        <f>BP_App_B1!K33+AP_App_B1!K34</f>
        <v>886.2682875498754</v>
      </c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</row>
    <row r="30" spans="1:155" ht="12.75">
      <c r="A30" t="s">
        <v>245</v>
      </c>
      <c r="C30" s="74"/>
      <c r="D30" s="74"/>
      <c r="E30" s="74"/>
      <c r="F30" s="74"/>
      <c r="G30" s="74">
        <f>-G6</f>
        <v>-1.63125</v>
      </c>
      <c r="H30" s="74">
        <f>-H6</f>
        <v>-3.325</v>
      </c>
      <c r="I30" s="74">
        <f>-I6</f>
        <v>-3.325</v>
      </c>
      <c r="J30" s="74">
        <f>-J6</f>
        <v>-3.325</v>
      </c>
      <c r="K30" s="74">
        <f>-K6</f>
        <v>-3.325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</row>
    <row r="31" spans="1:155" ht="12.75">
      <c r="A31" t="s">
        <v>37</v>
      </c>
      <c r="C31" s="74">
        <f>BP_App_B1!C34+AP_App_B1!C35</f>
        <v>785.395</v>
      </c>
      <c r="D31" s="74">
        <f>BP_App_B1!D34+AP_App_B1!D35</f>
        <v>873.757</v>
      </c>
      <c r="E31" s="74">
        <f>BP_App_B1!E34+AP_App_B1!E35</f>
        <v>891.454</v>
      </c>
      <c r="F31" s="74">
        <f>BP_App_B1!F34+AP_App_B1!F35</f>
        <v>950.635</v>
      </c>
      <c r="G31" s="74">
        <f>BP_App_B1!G34+AP_App_B1!G35</f>
        <v>964.841264</v>
      </c>
      <c r="H31" s="74">
        <f>BP_App_B1!H34+AP_App_B1!H35</f>
        <v>982.8076880000001</v>
      </c>
      <c r="I31" s="74">
        <f>BP_App_B1!I34+AP_App_B1!I35</f>
        <v>997.2896823360002</v>
      </c>
      <c r="J31" s="74">
        <f>BP_App_B1!J34+AP_App_B1!J35</f>
        <v>995.5462597742081</v>
      </c>
      <c r="K31" s="74">
        <f>BP_App_B1!K34+AP_App_B1!K35</f>
        <v>990.4738229699049</v>
      </c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</row>
    <row r="32" spans="1:155" ht="12.75">
      <c r="A32" t="s">
        <v>320</v>
      </c>
      <c r="C32" s="74"/>
      <c r="D32" s="74"/>
      <c r="E32" s="74"/>
      <c r="F32" s="74"/>
      <c r="G32" s="74">
        <f aca="true" t="shared" si="3" ref="G32:K33">-G7</f>
        <v>-1.6375</v>
      </c>
      <c r="H32" s="74">
        <f t="shared" si="3"/>
        <v>-3.275</v>
      </c>
      <c r="I32" s="74">
        <f t="shared" si="3"/>
        <v>-3.275</v>
      </c>
      <c r="J32" s="74">
        <f t="shared" si="3"/>
        <v>-3.275</v>
      </c>
      <c r="K32" s="74">
        <f t="shared" si="3"/>
        <v>-3.275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</row>
    <row r="33" spans="1:155" ht="12.75">
      <c r="A33" t="s">
        <v>246</v>
      </c>
      <c r="C33" s="74"/>
      <c r="D33" s="74"/>
      <c r="E33" s="74"/>
      <c r="F33" s="74"/>
      <c r="G33" s="74">
        <f t="shared" si="3"/>
        <v>1.13875</v>
      </c>
      <c r="H33" s="74">
        <f t="shared" si="3"/>
        <v>0</v>
      </c>
      <c r="I33" s="74">
        <f t="shared" si="3"/>
        <v>0</v>
      </c>
      <c r="J33" s="74">
        <f t="shared" si="3"/>
        <v>0</v>
      </c>
      <c r="K33" s="74">
        <f t="shared" si="3"/>
        <v>0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</row>
    <row r="34" spans="1:155" ht="12.75">
      <c r="A34" t="s">
        <v>104</v>
      </c>
      <c r="C34" s="74">
        <f>BP_App_B1!C35+AP_App_B1!C36</f>
        <v>32</v>
      </c>
      <c r="D34" s="74">
        <f>BP_App_B1!D35+AP_App_B1!D36</f>
        <v>41</v>
      </c>
      <c r="E34" s="74">
        <f>BP_App_B1!E35+AP_App_B1!E36</f>
        <v>52</v>
      </c>
      <c r="F34" s="74">
        <f>BP_App_B1!F35+AP_App_B1!F36</f>
        <v>52</v>
      </c>
      <c r="G34" s="74">
        <f>BP_App_B1!G35+AP_App_B1!G36</f>
        <v>52</v>
      </c>
      <c r="H34" s="74">
        <f>BP_App_B1!H35+AP_App_B1!H36</f>
        <v>52</v>
      </c>
      <c r="I34" s="74">
        <f>BP_App_B1!I35+AP_App_B1!I36</f>
        <v>52</v>
      </c>
      <c r="J34" s="74">
        <f>BP_App_B1!J35+AP_App_B1!J36</f>
        <v>52</v>
      </c>
      <c r="K34" s="74">
        <f>BP_App_B1!K35+AP_App_B1!K36</f>
        <v>52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</row>
    <row r="35" spans="1:155" ht="12.75">
      <c r="A35" t="s">
        <v>66</v>
      </c>
      <c r="C35" s="74">
        <f>BP_App_B1!C36+AP_App_B1!C37</f>
        <v>1.528</v>
      </c>
      <c r="D35" s="74">
        <f>BP_App_B1!D36+AP_App_B1!D37</f>
        <v>5.891</v>
      </c>
      <c r="E35" s="74">
        <f>BP_App_B1!E36+AP_App_B1!E37</f>
        <v>-9.087</v>
      </c>
      <c r="F35" s="74">
        <f>BP_App_B1!F36+AP_App_B1!F37</f>
        <v>-33.528999999999996</v>
      </c>
      <c r="G35" s="74">
        <f>BP_App_B1!G36+AP_App_B1!G37</f>
        <v>-31.812</v>
      </c>
      <c r="H35" s="74">
        <f>BP_App_B1!H36+AP_App_B1!H37</f>
        <v>-31.812</v>
      </c>
      <c r="I35" s="74">
        <f>BP_App_B1!I36+AP_App_B1!I37</f>
        <v>-31.812</v>
      </c>
      <c r="J35" s="74">
        <f>BP_App_B1!J36+AP_App_B1!J37</f>
        <v>-31.812</v>
      </c>
      <c r="K35" s="74">
        <f>BP_App_B1!K36+AP_App_B1!K37</f>
        <v>-31.812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</row>
    <row r="36" spans="1:155" ht="12.75">
      <c r="A36" t="s">
        <v>38</v>
      </c>
      <c r="C36" s="74">
        <f aca="true" t="shared" si="4" ref="C36:K36">SUM(C29:C35)</f>
        <v>1585.923</v>
      </c>
      <c r="D36" s="74">
        <f t="shared" si="4"/>
        <v>1719.798</v>
      </c>
      <c r="E36" s="74">
        <f t="shared" si="4"/>
        <v>1646.467</v>
      </c>
      <c r="F36" s="74">
        <f t="shared" si="4"/>
        <v>1687.906</v>
      </c>
      <c r="G36" s="74">
        <f t="shared" si="4"/>
        <v>1730.639864</v>
      </c>
      <c r="H36" s="74">
        <f t="shared" si="4"/>
        <v>1778.8330768</v>
      </c>
      <c r="I36" s="74">
        <f t="shared" si="4"/>
        <v>1827.615424608</v>
      </c>
      <c r="J36" s="74">
        <f t="shared" si="4"/>
        <v>1860.7436075450883</v>
      </c>
      <c r="K36" s="74">
        <f t="shared" si="4"/>
        <v>1890.3301105197802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</row>
    <row r="37" spans="1:155" ht="12.75">
      <c r="A37" t="s">
        <v>39</v>
      </c>
      <c r="C37" s="74">
        <f aca="true" t="shared" si="5" ref="C37:K37">C27-C36</f>
        <v>794.2469999999996</v>
      </c>
      <c r="D37" s="74">
        <f t="shared" si="5"/>
        <v>623.2549999999999</v>
      </c>
      <c r="E37" s="74">
        <f t="shared" si="5"/>
        <v>611.6180000000004</v>
      </c>
      <c r="F37" s="74">
        <f t="shared" si="5"/>
        <v>594.252</v>
      </c>
      <c r="G37" s="74">
        <f t="shared" si="5"/>
        <v>695.6192035999991</v>
      </c>
      <c r="H37" s="74">
        <f t="shared" si="5"/>
        <v>816.1206902399999</v>
      </c>
      <c r="I37" s="74">
        <f t="shared" si="5"/>
        <v>908.7722152960005</v>
      </c>
      <c r="J37" s="74">
        <f t="shared" si="5"/>
        <v>1017.8098090833928</v>
      </c>
      <c r="K37" s="74">
        <f t="shared" si="5"/>
        <v>1104.9197706178725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</row>
    <row r="38" spans="1:155" ht="12.75">
      <c r="A38" t="s">
        <v>40</v>
      </c>
      <c r="C38" s="74">
        <f>BP_App_B1!C39+AP_App_B1!C40</f>
        <v>0</v>
      </c>
      <c r="D38" s="74">
        <f>BP_App_B1!D39+AP_App_B1!D40</f>
        <v>0</v>
      </c>
      <c r="E38" s="74">
        <f>BP_App_B1!E39+AP_App_B1!E40</f>
        <v>1.588</v>
      </c>
      <c r="F38" s="74">
        <f>BP_App_B1!F39+AP_App_B1!F40</f>
        <v>3.833</v>
      </c>
      <c r="G38" s="74">
        <f>BP_App_B1!G39+AP_App_B1!G40</f>
        <v>28.82385553482136</v>
      </c>
      <c r="H38" s="74">
        <f>BP_App_B1!H39+AP_App_B1!H40</f>
        <v>48.306262548560824</v>
      </c>
      <c r="I38" s="74">
        <f>BP_App_B1!I39+AP_App_B1!I40</f>
        <v>57.72987721889233</v>
      </c>
      <c r="J38" s="74">
        <f>BP_App_B1!J39+AP_App_B1!J40</f>
        <v>87.22644752445237</v>
      </c>
      <c r="K38" s="74">
        <f>BP_App_B1!K39+AP_App_B1!K40</f>
        <v>112.74347230358804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</row>
    <row r="39" spans="1:155" ht="12.75">
      <c r="A39" t="s">
        <v>41</v>
      </c>
      <c r="C39" s="74">
        <f>BP_App_B1!C40+AP_App_B1!C41</f>
        <v>90.518</v>
      </c>
      <c r="D39" s="74">
        <f>BP_App_B1!D40+AP_App_B1!D41</f>
        <v>111.223</v>
      </c>
      <c r="E39" s="74">
        <f>BP_App_B1!E40+AP_App_B1!E41</f>
        <v>131.6</v>
      </c>
      <c r="F39" s="74">
        <f>BP_App_B1!F40+AP_App_B1!F41</f>
        <v>153</v>
      </c>
      <c r="G39" s="74">
        <f>BP_App_B1!G40+AP_App_B1!G41</f>
        <v>126.9636191525166</v>
      </c>
      <c r="H39" s="74">
        <f>BP_App_B1!H40+AP_App_B1!H41</f>
        <v>128.54710334716663</v>
      </c>
      <c r="I39" s="74">
        <f>BP_App_B1!I40+AP_App_B1!I41</f>
        <v>121.50996946905028</v>
      </c>
      <c r="J39" s="74">
        <f>BP_App_B1!J40+AP_App_B1!J41</f>
        <v>95.80170326686411</v>
      </c>
      <c r="K39" s="74">
        <f>BP_App_B1!K40+AP_App_B1!K41</f>
        <v>96.1031478928</v>
      </c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</row>
    <row r="40" spans="1:155" ht="12.75">
      <c r="A40" t="s">
        <v>42</v>
      </c>
      <c r="C40" s="74">
        <f aca="true" t="shared" si="6" ref="C40:K40">C37+C38-C39</f>
        <v>703.7289999999996</v>
      </c>
      <c r="D40" s="74">
        <f t="shared" si="6"/>
        <v>512.0319999999999</v>
      </c>
      <c r="E40" s="74">
        <f t="shared" si="6"/>
        <v>481.60600000000034</v>
      </c>
      <c r="F40" s="74">
        <f t="shared" si="6"/>
        <v>445.0849999999999</v>
      </c>
      <c r="G40" s="74">
        <f t="shared" si="6"/>
        <v>597.4794399823039</v>
      </c>
      <c r="H40" s="74">
        <f t="shared" si="6"/>
        <v>735.8798494413942</v>
      </c>
      <c r="I40" s="74">
        <f t="shared" si="6"/>
        <v>844.9921230458425</v>
      </c>
      <c r="J40" s="74">
        <f t="shared" si="6"/>
        <v>1009.234553340981</v>
      </c>
      <c r="K40" s="74">
        <f t="shared" si="6"/>
        <v>1121.5600950286605</v>
      </c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</row>
    <row r="41" spans="1:155" ht="12.75">
      <c r="A41" t="s">
        <v>43</v>
      </c>
      <c r="C41" s="74">
        <f>BP_App_B1!C42+AP_App_B1!C43</f>
        <v>201.243</v>
      </c>
      <c r="D41" s="74">
        <f>BP_App_B1!D42+AP_App_B1!D43</f>
        <v>132.857</v>
      </c>
      <c r="E41" s="74">
        <f>BP_App_B1!E42+AP_App_B1!E43</f>
        <v>70.111</v>
      </c>
      <c r="F41" s="74">
        <f>BP_App_B1!F42+AP_App_B1!F43</f>
        <v>66.944</v>
      </c>
      <c r="G41" s="74">
        <f>BP_App_B1!G42+AP_App_B1!G43</f>
        <v>112.11587668587647</v>
      </c>
      <c r="H41" s="74">
        <f>BP_App_B1!H42+AP_App_B1!H43</f>
        <v>162.54828180660448</v>
      </c>
      <c r="I41" s="74">
        <f>BP_App_B1!I42+AP_App_B1!I43</f>
        <v>209.5588900104124</v>
      </c>
      <c r="J41" s="74">
        <f>BP_App_B1!J42+AP_App_B1!J43</f>
        <v>297.02921719918726</v>
      </c>
      <c r="K41" s="74">
        <f>BP_App_B1!K42+AP_App_B1!K43</f>
        <v>402.47683165923786</v>
      </c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</row>
    <row r="42" spans="1:155" ht="12.75">
      <c r="A42" t="s">
        <v>44</v>
      </c>
      <c r="C42" s="74">
        <f aca="true" t="shared" si="7" ref="C42:K42">C40-C41</f>
        <v>502.4859999999996</v>
      </c>
      <c r="D42" s="74">
        <f t="shared" si="7"/>
        <v>379.17499999999995</v>
      </c>
      <c r="E42" s="74">
        <f t="shared" si="7"/>
        <v>411.49500000000035</v>
      </c>
      <c r="F42" s="74">
        <f t="shared" si="7"/>
        <v>378.1409999999999</v>
      </c>
      <c r="G42" s="74">
        <f t="shared" si="7"/>
        <v>485.36356329642746</v>
      </c>
      <c r="H42" s="74">
        <f t="shared" si="7"/>
        <v>573.3315676347897</v>
      </c>
      <c r="I42" s="74">
        <f t="shared" si="7"/>
        <v>635.4332330354301</v>
      </c>
      <c r="J42" s="74">
        <f t="shared" si="7"/>
        <v>712.2053361417939</v>
      </c>
      <c r="K42" s="74">
        <f t="shared" si="7"/>
        <v>719.0832633694226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</row>
    <row r="43" spans="3:155" ht="12.75"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</row>
    <row r="44" spans="1:155" ht="12.75">
      <c r="A44" s="1" t="s">
        <v>45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</row>
    <row r="45" spans="1:155" ht="12.75">
      <c r="A45" t="s">
        <v>46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</row>
    <row r="46" spans="1:155" ht="12.75">
      <c r="A46" t="s">
        <v>120</v>
      </c>
      <c r="C46" s="74">
        <f>BP_App_B1!C47+AP_App_B1!C48</f>
        <v>697.535</v>
      </c>
      <c r="D46" s="74">
        <f>BP_App_B1!D47+AP_App_B1!D48</f>
        <v>224.952</v>
      </c>
      <c r="E46" s="74">
        <f>BP_App_B1!E47+AP_App_B1!E48</f>
        <v>344.23</v>
      </c>
      <c r="F46" s="74">
        <f>BP_App_B1!F47+AP_App_B1!F48</f>
        <v>275.29200000000003</v>
      </c>
      <c r="G46" s="74">
        <f>BP_App_B1!G47+AP_App_B1!G48</f>
        <v>235.95919199999997</v>
      </c>
      <c r="H46" s="74">
        <f>BP_App_B1!H47+AP_App_B1!H48</f>
        <v>247.3124256</v>
      </c>
      <c r="I46" s="74">
        <f>BP_App_B1!I47+AP_App_B1!I48</f>
        <v>258.40606579200005</v>
      </c>
      <c r="J46" s="74">
        <f>BP_App_B1!J47+AP_App_B1!J48</f>
        <v>269.62314674688</v>
      </c>
      <c r="K46" s="74">
        <f>BP_App_B1!K47+AP_App_B1!K48</f>
        <v>280.64589896401924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</row>
    <row r="47" spans="1:155" ht="12.75">
      <c r="A47" t="s">
        <v>118</v>
      </c>
      <c r="C47" s="74">
        <f>BP_App_B1!C48+AP_App_B1!C49</f>
        <v>1779.0919999999999</v>
      </c>
      <c r="D47" s="74">
        <f>BP_App_B1!D48+AP_App_B1!D49</f>
        <v>1861.4810000000002</v>
      </c>
      <c r="E47" s="74">
        <f>BP_App_B1!E48+AP_App_B1!E49</f>
        <v>1665.193</v>
      </c>
      <c r="F47" s="74">
        <f>BP_App_B1!F48+AP_App_B1!F49</f>
        <v>1604.84</v>
      </c>
      <c r="G47" s="74">
        <f>BP_App_B1!G48+AP_App_B1!G49</f>
        <v>1786.88296</v>
      </c>
      <c r="H47" s="74">
        <f>BP_App_B1!H48+AP_App_B1!H49</f>
        <v>1867.932608</v>
      </c>
      <c r="I47" s="74">
        <f>BP_App_B1!I48+AP_App_B1!I49</f>
        <v>1948.65562816</v>
      </c>
      <c r="J47" s="74">
        <f>BP_App_B1!J48+AP_App_B1!J49</f>
        <v>2031.0060449024004</v>
      </c>
      <c r="K47" s="74">
        <f>BP_App_B1!K48+AP_App_B1!K49</f>
        <v>2113.4354184348163</v>
      </c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</row>
    <row r="48" spans="1:155" ht="12.75">
      <c r="A48" t="s">
        <v>47</v>
      </c>
      <c r="C48" s="74">
        <f>SUM(C46:C47)</f>
        <v>2476.627</v>
      </c>
      <c r="D48" s="74">
        <f>SUM(D46:D47)</f>
        <v>2086.433</v>
      </c>
      <c r="E48" s="74">
        <f>SUM(E46:E47)</f>
        <v>2009.423</v>
      </c>
      <c r="F48" s="74">
        <f>SUM(F46:F47)</f>
        <v>1880.132</v>
      </c>
      <c r="G48" s="74">
        <f>BP_App_B1!G49+AP_App_B1!G50</f>
        <v>2022.842152</v>
      </c>
      <c r="H48" s="74">
        <f>BP_App_B1!H49+AP_App_B1!H50</f>
        <v>2115.2450336</v>
      </c>
      <c r="I48" s="74">
        <f>BP_App_B1!I49+AP_App_B1!I50</f>
        <v>2207.061693952</v>
      </c>
      <c r="J48" s="74">
        <f>BP_App_B1!J49+AP_App_B1!J50</f>
        <v>2300.6291916492805</v>
      </c>
      <c r="K48" s="74">
        <f>BP_App_B1!K49+AP_App_B1!K50</f>
        <v>2394.081317398836</v>
      </c>
      <c r="L48" s="77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</row>
    <row r="49" spans="1:155" ht="12.75">
      <c r="A49" t="s">
        <v>119</v>
      </c>
      <c r="C49" s="74">
        <f>BP_App_B1!C50+AP_App_B1!C51</f>
        <v>0</v>
      </c>
      <c r="D49" s="74">
        <f>BP_App_B1!D50+AP_App_B1!D51</f>
        <v>0</v>
      </c>
      <c r="E49" s="74">
        <f>BP_App_B1!E50+AP_App_B1!E51</f>
        <v>0</v>
      </c>
      <c r="F49" s="74">
        <f>BP_App_B1!F50+AP_App_B1!F51</f>
        <v>0</v>
      </c>
      <c r="G49" s="74">
        <f>G64-G48-G52-G53</f>
        <v>346.50416869642595</v>
      </c>
      <c r="H49" s="74">
        <f>H64-H48-H52-H53</f>
        <v>742.1740753712163</v>
      </c>
      <c r="I49" s="74">
        <f>I64-I48-I52-I53</f>
        <v>939.9277285858473</v>
      </c>
      <c r="J49" s="74">
        <f>J64-J48-J52-J53</f>
        <v>1539.0170537421682</v>
      </c>
      <c r="K49" s="74">
        <f>K64-K48-K52-K53</f>
        <v>2059.2097971077437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</row>
    <row r="50" spans="1:155" ht="12.75">
      <c r="A50" t="s">
        <v>48</v>
      </c>
      <c r="C50" s="74">
        <f>BP_App_B1!C51+AP_App_B1!C52</f>
        <v>942.455</v>
      </c>
      <c r="D50" s="74">
        <f>BP_App_B1!D51+AP_App_B1!D52</f>
        <v>1165.462</v>
      </c>
      <c r="E50" s="74">
        <f>BP_App_B1!E51+AP_App_B1!E52</f>
        <v>1163.8349999999998</v>
      </c>
      <c r="F50" s="74">
        <f>BP_App_B1!F51+AP_App_B1!F52</f>
        <v>1150.462</v>
      </c>
      <c r="G50" s="74">
        <f>BP_App_B1!G51+AP_App_B1!G52</f>
        <v>1248.989744</v>
      </c>
      <c r="H50" s="74">
        <f>BP_App_B1!H51+AP_App_B1!H52</f>
        <v>1302.7790656000002</v>
      </c>
      <c r="I50" s="74">
        <f>BP_App_B1!I51+AP_App_B1!I52</f>
        <v>1357.2925145600002</v>
      </c>
      <c r="J50" s="74">
        <f>BP_App_B1!J51+AP_App_B1!J52</f>
        <v>1413.3458917888004</v>
      </c>
      <c r="K50" s="74">
        <f>BP_App_B1!K51+AP_App_B1!K52</f>
        <v>1470.3553801548803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</row>
    <row r="51" spans="1:155" ht="12.75">
      <c r="A51" t="s">
        <v>117</v>
      </c>
      <c r="C51" s="74">
        <f>BP_App_B1!C52+AP_App_B1!C53</f>
        <v>338.099</v>
      </c>
      <c r="D51" s="74">
        <f>BP_App_B1!D52+AP_App_B1!D53</f>
        <v>424.173</v>
      </c>
      <c r="E51" s="74">
        <f>BP_App_B1!E52+AP_App_B1!E53</f>
        <v>427.32</v>
      </c>
      <c r="F51" s="74">
        <f>BP_App_B1!F52+AP_App_B1!F53</f>
        <v>483.653</v>
      </c>
      <c r="G51" s="74">
        <f>BP_App_B1!G52+AP_App_B1!G53</f>
        <v>587.9110164</v>
      </c>
      <c r="H51" s="74">
        <f>BP_App_B1!H52+AP_App_B1!H53</f>
        <v>696.72232664</v>
      </c>
      <c r="I51" s="74">
        <f>BP_App_B1!I52+AP_App_B1!I53</f>
        <v>810.1263179232</v>
      </c>
      <c r="J51" s="74">
        <f>BP_App_B1!J52+AP_App_B1!J53</f>
        <v>928.242636522368</v>
      </c>
      <c r="K51" s="74">
        <f>BP_App_B1!K52+AP_App_B1!K53</f>
        <v>1051.1311731349556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</row>
    <row r="52" spans="1:155" ht="12.75">
      <c r="A52" t="s">
        <v>49</v>
      </c>
      <c r="C52" s="74">
        <f aca="true" t="shared" si="8" ref="C52:K52">C50-C51</f>
        <v>604.356</v>
      </c>
      <c r="D52" s="74">
        <f t="shared" si="8"/>
        <v>741.289</v>
      </c>
      <c r="E52" s="74">
        <f t="shared" si="8"/>
        <v>736.5149999999999</v>
      </c>
      <c r="F52" s="74">
        <f t="shared" si="8"/>
        <v>666.809</v>
      </c>
      <c r="G52" s="74">
        <f t="shared" si="8"/>
        <v>661.0787276</v>
      </c>
      <c r="H52" s="74">
        <f t="shared" si="8"/>
        <v>606.0567389600002</v>
      </c>
      <c r="I52" s="74">
        <f t="shared" si="8"/>
        <v>547.1661966368002</v>
      </c>
      <c r="J52" s="74">
        <f t="shared" si="8"/>
        <v>485.10325526643237</v>
      </c>
      <c r="K52" s="74">
        <f t="shared" si="8"/>
        <v>419.22420701992473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</row>
    <row r="53" spans="1:155" ht="12.75">
      <c r="A53" t="s">
        <v>67</v>
      </c>
      <c r="C53" s="74">
        <f>BP_App_B1!C54+AP_App_B1!C55</f>
        <v>877.3750000000001</v>
      </c>
      <c r="D53" s="74">
        <f>BP_App_B1!D54+AP_App_B1!D55</f>
        <v>1844.3</v>
      </c>
      <c r="E53" s="74">
        <f>BP_App_B1!E54+AP_App_B1!E55</f>
        <v>2161.1000000000004</v>
      </c>
      <c r="F53" s="74">
        <f>BP_App_B1!F54+AP_App_B1!F55</f>
        <v>2015.15</v>
      </c>
      <c r="G53" s="74">
        <f>BP_App_B1!G54+AP_App_B1!G55</f>
        <v>2009.8000000000002</v>
      </c>
      <c r="H53" s="74">
        <f>BP_App_B1!H54+AP_App_B1!H55</f>
        <v>2004.5000000000002</v>
      </c>
      <c r="I53" s="74">
        <f>BP_App_B1!I54+AP_App_B1!I55</f>
        <v>1999.2500000000002</v>
      </c>
      <c r="J53" s="74">
        <f>BP_App_B1!J54+AP_App_B1!J55</f>
        <v>1994.0500000000002</v>
      </c>
      <c r="K53" s="74">
        <f>BP_App_B1!K54+AP_App_B1!K55</f>
        <v>1988.8500000000001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</row>
    <row r="54" spans="1:155" s="1" customFormat="1" ht="12.75">
      <c r="A54" s="1" t="s">
        <v>50</v>
      </c>
      <c r="C54" s="40">
        <f aca="true" t="shared" si="9" ref="C54:K54">C48+C49+C52+C53</f>
        <v>3958.358</v>
      </c>
      <c r="D54" s="40">
        <f t="shared" si="9"/>
        <v>4672.022</v>
      </c>
      <c r="E54" s="40">
        <f t="shared" si="9"/>
        <v>4907.0380000000005</v>
      </c>
      <c r="F54" s="40">
        <f t="shared" si="9"/>
        <v>4562.091</v>
      </c>
      <c r="G54" s="40">
        <f t="shared" si="9"/>
        <v>5040.225048296426</v>
      </c>
      <c r="H54" s="40">
        <f t="shared" si="9"/>
        <v>5467.975847931217</v>
      </c>
      <c r="I54" s="40">
        <f t="shared" si="9"/>
        <v>5693.405619174648</v>
      </c>
      <c r="J54" s="40">
        <f t="shared" si="9"/>
        <v>6318.799500657881</v>
      </c>
      <c r="K54" s="40">
        <f t="shared" si="9"/>
        <v>6861.365321526504</v>
      </c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</row>
    <row r="55" spans="1:155" ht="12.75">
      <c r="A55" t="s">
        <v>51</v>
      </c>
      <c r="C55" s="74">
        <f>BP_App_B1!C56+AP_App_B1!C57</f>
        <v>1184.959</v>
      </c>
      <c r="D55" s="74">
        <f>BP_App_B1!D56+AP_App_B1!D57</f>
        <v>1332.097</v>
      </c>
      <c r="E55" s="74">
        <f>BP_App_B1!E56+AP_App_B1!E57</f>
        <v>1609.7540000000001</v>
      </c>
      <c r="F55" s="74">
        <f>BP_App_B1!F56+AP_App_B1!F57</f>
        <v>1544.135</v>
      </c>
      <c r="G55" s="74">
        <f>BP_App_B1!G56+AP_App_B1!G57</f>
        <v>1529.5415999999998</v>
      </c>
      <c r="H55" s="74">
        <f>BP_App_B1!H56+AP_App_B1!H57</f>
        <v>1598.701872</v>
      </c>
      <c r="I55" s="74">
        <f>BP_App_B1!I56+AP_App_B1!I57</f>
        <v>1562.5946622080003</v>
      </c>
      <c r="J55" s="74">
        <f>BP_App_B1!J56+AP_App_B1!J57</f>
        <v>1519.5061585894405</v>
      </c>
      <c r="K55" s="74">
        <f>BP_App_B1!K56+AP_App_B1!K57</f>
        <v>1524.4608741574405</v>
      </c>
      <c r="L55" s="77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</row>
    <row r="56" spans="1:155" ht="12.75">
      <c r="A56" t="s">
        <v>52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</row>
    <row r="57" spans="1:155" ht="12.75">
      <c r="A57" t="s">
        <v>109</v>
      </c>
      <c r="C57" s="74">
        <f>BP_App_B1!C58+AP_App_B1!C59</f>
        <v>670.1</v>
      </c>
      <c r="D57" s="74">
        <f>BP_App_B1!D58+AP_App_B1!D59</f>
        <v>989.44</v>
      </c>
      <c r="E57" s="74">
        <f>BP_App_B1!E58+AP_App_B1!E59</f>
        <v>982.9087129999999</v>
      </c>
      <c r="F57" s="74">
        <f>BP_App_B1!F58+AP_App_B1!F59</f>
        <v>1243.4</v>
      </c>
      <c r="G57" s="74">
        <f>BP_App_B1!G58+AP_App_B1!G59</f>
        <v>1243.796</v>
      </c>
      <c r="H57" s="74">
        <f>BP_App_B1!H58+AP_App_B1!H59</f>
        <v>1021.919</v>
      </c>
      <c r="I57" s="74">
        <f>BP_App_B1!I58+AP_App_B1!I59</f>
        <v>640.6700000000001</v>
      </c>
      <c r="J57" s="74">
        <f>BP_App_B1!J58+AP_App_B1!J59</f>
        <v>589.331</v>
      </c>
      <c r="K57" s="74">
        <f>BP_App_B1!K58+AP_App_B1!K59</f>
        <v>400</v>
      </c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</row>
    <row r="58" spans="1:155" ht="12.75">
      <c r="A58" t="s">
        <v>110</v>
      </c>
      <c r="C58" s="74">
        <f>BP_App_B1!C59+AP_App_B1!C60</f>
        <v>0</v>
      </c>
      <c r="D58" s="74">
        <f>BP_App_B1!D59+AP_App_B1!D60</f>
        <v>0</v>
      </c>
      <c r="E58" s="74">
        <f>BP_App_B1!E59+AP_App_B1!E60</f>
        <v>0</v>
      </c>
      <c r="F58" s="74">
        <f>BP_App_B1!F59+AP_App_B1!F60</f>
        <v>0</v>
      </c>
      <c r="G58" s="74">
        <f>BP_App_B1!G59+AP_App_B1!G60</f>
        <v>0</v>
      </c>
      <c r="H58" s="74">
        <f>BP_App_B1!H59+AP_App_B1!H60</f>
        <v>0</v>
      </c>
      <c r="I58" s="74">
        <f>BP_App_B1!I59+AP_App_B1!I60</f>
        <v>0</v>
      </c>
      <c r="J58" s="74">
        <f>BP_App_B1!J59+AP_App_B1!J60</f>
        <v>0</v>
      </c>
      <c r="K58" s="74">
        <f>BP_App_B1!K59+AP_App_B1!K60</f>
        <v>0</v>
      </c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</row>
    <row r="59" spans="1:155" ht="12.75">
      <c r="A59" t="s">
        <v>68</v>
      </c>
      <c r="C59" s="74">
        <f>BP_App_B1!C60+AP_App_B1!C61</f>
        <v>144.286</v>
      </c>
      <c r="D59" s="74">
        <f>BP_App_B1!D60+AP_App_B1!D61</f>
        <v>141.44400000000002</v>
      </c>
      <c r="E59" s="74">
        <f>BP_App_B1!E60+AP_App_B1!E61</f>
        <v>164</v>
      </c>
      <c r="F59" s="74">
        <f>BP_App_B1!F60+AP_App_B1!F61</f>
        <v>166.956</v>
      </c>
      <c r="G59" s="74">
        <f>BP_App_B1!G60+AP_App_B1!G61</f>
        <v>173.7944</v>
      </c>
      <c r="H59" s="74">
        <f>BP_App_B1!H60+AP_App_B1!H61</f>
        <v>180.93036</v>
      </c>
      <c r="I59" s="74">
        <f>BP_App_B1!I60+AP_App_B1!I61</f>
        <v>188.283108</v>
      </c>
      <c r="J59" s="74">
        <f>BP_App_B1!J60+AP_App_B1!J61</f>
        <v>195.89915696000003</v>
      </c>
      <c r="K59" s="74">
        <f>BP_App_B1!K60+AP_App_B1!K61</f>
        <v>203.75799889120003</v>
      </c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</row>
    <row r="60" spans="1:155" s="1" customFormat="1" ht="12.75">
      <c r="A60" s="1" t="s">
        <v>69</v>
      </c>
      <c r="C60" s="40">
        <f aca="true" t="shared" si="10" ref="C60:K60">SUM(C55:C59)</f>
        <v>1999.3450000000003</v>
      </c>
      <c r="D60" s="40">
        <f t="shared" si="10"/>
        <v>2462.981</v>
      </c>
      <c r="E60" s="40">
        <f t="shared" si="10"/>
        <v>2756.662713</v>
      </c>
      <c r="F60" s="40">
        <f t="shared" si="10"/>
        <v>2954.491</v>
      </c>
      <c r="G60" s="40">
        <f t="shared" si="10"/>
        <v>2947.1319999999996</v>
      </c>
      <c r="H60" s="40">
        <f t="shared" si="10"/>
        <v>2801.551232</v>
      </c>
      <c r="I60" s="40">
        <f t="shared" si="10"/>
        <v>2391.547770208</v>
      </c>
      <c r="J60" s="40">
        <f t="shared" si="10"/>
        <v>2304.7363155494404</v>
      </c>
      <c r="K60" s="40">
        <f t="shared" si="10"/>
        <v>2128.2188730486405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</row>
    <row r="61" spans="1:155" ht="12.75">
      <c r="A61" t="s">
        <v>54</v>
      </c>
      <c r="C61" s="74">
        <f>BP_App_B1!C62+AP_App_B1!C63</f>
        <v>749.5979999999998</v>
      </c>
      <c r="D61" s="74">
        <f>BP_App_B1!D62+AP_App_B1!D63</f>
        <v>2068</v>
      </c>
      <c r="E61" s="74">
        <f>BP_App_B1!E62+AP_App_B1!E63</f>
        <v>2078.191273</v>
      </c>
      <c r="F61" s="74">
        <f>BP_App_B1!F62+AP_App_B1!F63</f>
        <v>1979.783485</v>
      </c>
      <c r="G61" s="74">
        <f>BP_App_B1!G62+AP_App_B1!G63</f>
        <v>1979.783485</v>
      </c>
      <c r="H61" s="74">
        <f>BP_App_B1!H62+AP_App_B1!H63</f>
        <v>1979.783485</v>
      </c>
      <c r="I61" s="74">
        <f>BP_App_B1!I62+AP_App_B1!I63</f>
        <v>1979.783485</v>
      </c>
      <c r="J61" s="74">
        <f>BP_App_B1!J62+AP_App_B1!J63</f>
        <v>1979.783485</v>
      </c>
      <c r="K61" s="74">
        <f>BP_App_B1!K62+AP_App_B1!K63</f>
        <v>1979.783485</v>
      </c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</row>
    <row r="62" spans="1:155" ht="12.75">
      <c r="A62" t="s">
        <v>55</v>
      </c>
      <c r="C62" s="74">
        <f>BP_App_B1!C63+AP_App_B1!C64</f>
        <v>1209.8020000000001</v>
      </c>
      <c r="D62" s="74">
        <f>BP_App_B1!D63+AP_App_B1!D64</f>
        <v>140.57700000000006</v>
      </c>
      <c r="E62" s="74">
        <f>BP_App_B1!E63+AP_App_B1!E64</f>
        <v>72.10900000000001</v>
      </c>
      <c r="F62" s="74">
        <f>BP_App_B1!F63+AP_App_B1!F64</f>
        <v>-372.054</v>
      </c>
      <c r="G62" s="74">
        <f>F62+G42</f>
        <v>113.30956329642748</v>
      </c>
      <c r="H62" s="74">
        <f>G62+H42</f>
        <v>686.6411309312173</v>
      </c>
      <c r="I62" s="74">
        <f>H62+I42</f>
        <v>1322.0743639666475</v>
      </c>
      <c r="J62" s="74">
        <f>I62+J42</f>
        <v>2034.2797001084414</v>
      </c>
      <c r="K62" s="74">
        <f>J62+K42</f>
        <v>2753.362963477864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</row>
    <row r="63" spans="1:155" s="1" customFormat="1" ht="12.75">
      <c r="A63" s="1" t="s">
        <v>53</v>
      </c>
      <c r="C63" s="40">
        <f aca="true" t="shared" si="11" ref="C63:K63">SUM(C61:C62)</f>
        <v>1959.4</v>
      </c>
      <c r="D63" s="40">
        <f t="shared" si="11"/>
        <v>2208.577</v>
      </c>
      <c r="E63" s="40">
        <f t="shared" si="11"/>
        <v>2150.300273</v>
      </c>
      <c r="F63" s="40">
        <f t="shared" si="11"/>
        <v>1607.7294849999998</v>
      </c>
      <c r="G63" s="40">
        <f t="shared" si="11"/>
        <v>2093.0930482964272</v>
      </c>
      <c r="H63" s="40">
        <f t="shared" si="11"/>
        <v>2666.424615931217</v>
      </c>
      <c r="I63" s="40">
        <f t="shared" si="11"/>
        <v>3301.8578489666475</v>
      </c>
      <c r="J63" s="40">
        <f t="shared" si="11"/>
        <v>4014.0631851084413</v>
      </c>
      <c r="K63" s="40">
        <f t="shared" si="11"/>
        <v>4733.146448477864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</row>
    <row r="64" spans="1:155" s="1" customFormat="1" ht="12.75">
      <c r="A64" s="1" t="s">
        <v>566</v>
      </c>
      <c r="C64" s="40">
        <f aca="true" t="shared" si="12" ref="C64:K64">C60+C63</f>
        <v>3958.7450000000003</v>
      </c>
      <c r="D64" s="40">
        <f t="shared" si="12"/>
        <v>4671.558000000001</v>
      </c>
      <c r="E64" s="40">
        <f t="shared" si="12"/>
        <v>4906.9629860000005</v>
      </c>
      <c r="F64" s="40">
        <f t="shared" si="12"/>
        <v>4562.220485</v>
      </c>
      <c r="G64" s="40">
        <f t="shared" si="12"/>
        <v>5040.225048296426</v>
      </c>
      <c r="H64" s="40">
        <f t="shared" si="12"/>
        <v>5467.975847931217</v>
      </c>
      <c r="I64" s="40">
        <f t="shared" si="12"/>
        <v>5693.405619174648</v>
      </c>
      <c r="J64" s="40">
        <f t="shared" si="12"/>
        <v>6318.799500657882</v>
      </c>
      <c r="K64" s="40">
        <f t="shared" si="12"/>
        <v>6861.365321526505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</row>
    <row r="65" spans="1:155" ht="12.75">
      <c r="A65" t="s">
        <v>443</v>
      </c>
      <c r="B65" s="80"/>
      <c r="C65" s="413">
        <f aca="true" t="shared" si="13" ref="C65:K65">C54-C64</f>
        <v>-0.387000000000171</v>
      </c>
      <c r="D65" s="413">
        <f t="shared" si="13"/>
        <v>0.4639999999990323</v>
      </c>
      <c r="E65" s="413">
        <f t="shared" si="13"/>
        <v>0.07501400000001013</v>
      </c>
      <c r="F65" s="413">
        <f t="shared" si="13"/>
        <v>-0.1294849999994767</v>
      </c>
      <c r="G65" s="413">
        <f t="shared" si="13"/>
        <v>0</v>
      </c>
      <c r="H65" s="413">
        <f t="shared" si="13"/>
        <v>0</v>
      </c>
      <c r="I65" s="413">
        <f t="shared" si="13"/>
        <v>0</v>
      </c>
      <c r="J65" s="413">
        <f t="shared" si="13"/>
        <v>0</v>
      </c>
      <c r="K65" s="413">
        <f t="shared" si="13"/>
        <v>0</v>
      </c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</row>
    <row r="66" spans="1:155" ht="12.75">
      <c r="A66" t="s">
        <v>71</v>
      </c>
      <c r="C66" s="74">
        <f>BP_App_B1!C67+AP_App_B1!C68</f>
        <v>298.53200000000004</v>
      </c>
      <c r="D66" s="74">
        <f>BP_App_B1!D67+AP_App_B1!D68</f>
        <v>399.339</v>
      </c>
      <c r="E66" s="74">
        <f>BP_App_B1!E67+AP_App_B1!E68</f>
        <v>435.47900000000004</v>
      </c>
      <c r="F66" s="74">
        <f>BP_App_B1!F67+AP_App_B1!F68</f>
        <v>445.06</v>
      </c>
      <c r="G66" s="74">
        <f>BP_App_B1!G67+AP_App_B1!G68</f>
        <v>445.1</v>
      </c>
      <c r="H66" s="74">
        <f>BP_App_B1!H67+AP_App_B1!H68</f>
        <v>445.1</v>
      </c>
      <c r="I66" s="74">
        <f>BP_App_B1!I67+AP_App_B1!I68</f>
        <v>445.1</v>
      </c>
      <c r="J66" s="74">
        <f>BP_App_B1!J67+AP_App_B1!J68</f>
        <v>445.1</v>
      </c>
      <c r="K66" s="74">
        <f>BP_App_B1!K67+AP_App_B1!K68</f>
        <v>445.1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</row>
    <row r="67" spans="1:155" ht="12.75">
      <c r="A67" t="s">
        <v>70</v>
      </c>
      <c r="C67" s="81">
        <f>C41/C40</f>
        <v>0.2859666149895771</v>
      </c>
      <c r="D67" s="81">
        <f aca="true" t="shared" si="14" ref="D67:K67">D41/D40</f>
        <v>0.25947011124304736</v>
      </c>
      <c r="E67" s="81">
        <f t="shared" si="14"/>
        <v>0.14557750526363866</v>
      </c>
      <c r="F67" s="81">
        <f t="shared" si="14"/>
        <v>0.15040722558612404</v>
      </c>
      <c r="G67" s="81">
        <f t="shared" si="14"/>
        <v>0.18764809160495483</v>
      </c>
      <c r="H67" s="81">
        <f t="shared" si="14"/>
        <v>0.22088970357048743</v>
      </c>
      <c r="I67" s="81">
        <f t="shared" si="14"/>
        <v>0.24800099822829166</v>
      </c>
      <c r="J67" s="81">
        <f>J41/J40</f>
        <v>0.29431138303370463</v>
      </c>
      <c r="K67" s="81">
        <f t="shared" si="14"/>
        <v>0.3588544505490389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</row>
    <row r="68" spans="3:155" ht="12.75"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</row>
    <row r="69" spans="1:155" ht="12.75">
      <c r="A69" s="55" t="s">
        <v>463</v>
      </c>
      <c r="B69" s="70"/>
      <c r="C69" s="53">
        <f aca="true" t="shared" si="15" ref="C69:K69">C48-C55</f>
        <v>1291.668</v>
      </c>
      <c r="D69" s="53">
        <f t="shared" si="15"/>
        <v>754.336</v>
      </c>
      <c r="E69" s="53">
        <f t="shared" si="15"/>
        <v>399.66899999999987</v>
      </c>
      <c r="F69" s="53">
        <f t="shared" si="15"/>
        <v>335.99700000000007</v>
      </c>
      <c r="G69" s="53">
        <f t="shared" si="15"/>
        <v>493.30055200000015</v>
      </c>
      <c r="H69" s="53">
        <f t="shared" si="15"/>
        <v>516.5431616000001</v>
      </c>
      <c r="I69" s="53">
        <f t="shared" si="15"/>
        <v>644.4670317439998</v>
      </c>
      <c r="J69" s="53">
        <f t="shared" si="15"/>
        <v>781.12303305984</v>
      </c>
      <c r="K69" s="53">
        <f t="shared" si="15"/>
        <v>869.6204432413954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</row>
    <row r="70" spans="1:155" ht="12.75">
      <c r="A70" s="1" t="s">
        <v>56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</row>
    <row r="71" spans="1:155" ht="12.75">
      <c r="A71" t="s">
        <v>57</v>
      </c>
      <c r="C71" s="74">
        <f aca="true" t="shared" si="16" ref="C71:K71">C37*(1-C67)</f>
        <v>567.118873944373</v>
      </c>
      <c r="D71" s="74">
        <f t="shared" si="16"/>
        <v>461.53895581721446</v>
      </c>
      <c r="E71" s="74">
        <f t="shared" si="16"/>
        <v>522.5801773856642</v>
      </c>
      <c r="F71" s="74">
        <f t="shared" si="16"/>
        <v>504.87220538099456</v>
      </c>
      <c r="G71" s="74">
        <f t="shared" si="16"/>
        <v>565.0875875607007</v>
      </c>
      <c r="H71" s="74">
        <f t="shared" si="16"/>
        <v>635.8480328951448</v>
      </c>
      <c r="I71" s="74">
        <f t="shared" si="16"/>
        <v>683.3957987404564</v>
      </c>
      <c r="J71" s="74">
        <f t="shared" si="16"/>
        <v>718.2567965067886</v>
      </c>
      <c r="K71" s="74">
        <f t="shared" si="16"/>
        <v>708.4143934320257</v>
      </c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</row>
    <row r="72" spans="1:155" ht="12.75">
      <c r="A72" t="s">
        <v>58</v>
      </c>
      <c r="C72" s="74">
        <f>C24+C34</f>
        <v>133.099</v>
      </c>
      <c r="D72" s="74">
        <f>D24+D34</f>
        <v>146.986</v>
      </c>
      <c r="E72" s="74">
        <f>E24+E34</f>
        <v>137.571</v>
      </c>
      <c r="F72" s="74">
        <f>F24+F34</f>
        <v>136.272</v>
      </c>
      <c r="G72" s="74">
        <f>BP_App_B1!G74+AP_App_B1!G75</f>
        <v>156.2580164</v>
      </c>
      <c r="H72" s="74">
        <f>BP_App_B1!H74+AP_App_B1!H75</f>
        <v>160.81131024</v>
      </c>
      <c r="I72" s="74">
        <f>BP_App_B1!I74+AP_App_B1!I75</f>
        <v>165.4039912832</v>
      </c>
      <c r="J72" s="74">
        <f>BP_App_B1!J74+AP_App_B1!J75</f>
        <v>170.11631859916804</v>
      </c>
      <c r="K72" s="74">
        <f>BP_App_B1!K74+AP_App_B1!K75</f>
        <v>174.88853661258756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</row>
    <row r="73" spans="1:155" ht="12.75">
      <c r="A73" t="s">
        <v>528</v>
      </c>
      <c r="C73" s="74">
        <f>BP_App_B1!C75+AP_App_B1!C76</f>
        <v>203.934</v>
      </c>
      <c r="D73" s="74">
        <f>D50-C50</f>
        <v>223.00699999999995</v>
      </c>
      <c r="E73" s="74">
        <f>BP_App_B1!E75+AP_App_B1!E76</f>
        <v>-1.6270000000000913</v>
      </c>
      <c r="F73" s="74">
        <f>BP_App_B1!F75+AP_App_B1!F76</f>
        <v>-13.372999999999887</v>
      </c>
      <c r="G73" s="74">
        <f>BP_App_B1!G75+AP_App_B1!G76</f>
        <v>98.52774399999996</v>
      </c>
      <c r="H73" s="74">
        <f>BP_App_B1!H75+AP_App_B1!H76</f>
        <v>53.78932160000011</v>
      </c>
      <c r="I73" s="74">
        <f>BP_App_B1!I75+AP_App_B1!I76</f>
        <v>54.51344896000009</v>
      </c>
      <c r="J73" s="74">
        <f>BP_App_B1!J75+AP_App_B1!J76</f>
        <v>56.05337722880014</v>
      </c>
      <c r="K73" s="74">
        <f>BP_App_B1!K75+AP_App_B1!K76</f>
        <v>57.009488366080056</v>
      </c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</row>
    <row r="74" spans="1:155" ht="12.75">
      <c r="A74" t="s">
        <v>59</v>
      </c>
      <c r="C74" s="74">
        <f>BP_App_B1!C76+AP_App_B1!C77</f>
        <v>-204.4</v>
      </c>
      <c r="D74" s="74">
        <f>BP_App_B1!D76+AP_App_B1!D77</f>
        <v>-537.3319999999995</v>
      </c>
      <c r="E74" s="74">
        <f>BP_App_B1!E76+AP_App_B1!E77</f>
        <v>-354.66700000000014</v>
      </c>
      <c r="F74" s="74">
        <f>BP_App_B1!F76+AP_App_B1!F77</f>
        <v>-63.67200000000008</v>
      </c>
      <c r="G74" s="74">
        <f>BP_App_B1!G76+AP_App_B1!G77</f>
        <v>157.3035520000002</v>
      </c>
      <c r="H74" s="74">
        <f>BP_App_B1!H76+AP_App_B1!H77</f>
        <v>23.242609599999895</v>
      </c>
      <c r="I74" s="74">
        <f>BP_App_B1!I76+AP_App_B1!I77</f>
        <v>127.92387014399984</v>
      </c>
      <c r="J74" s="74">
        <f>BP_App_B1!J76+AP_App_B1!J77</f>
        <v>136.65600131584034</v>
      </c>
      <c r="K74" s="74">
        <f>BP_App_B1!K76+AP_App_B1!K77</f>
        <v>88.49741018155515</v>
      </c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</row>
    <row r="75" spans="1:155" ht="13.5" thickBot="1">
      <c r="A75" t="s">
        <v>60</v>
      </c>
      <c r="C75" s="123">
        <f aca="true" t="shared" si="17" ref="C75:K75">C71+C72-C73-C74</f>
        <v>700.683873944373</v>
      </c>
      <c r="D75" s="123">
        <f t="shared" si="17"/>
        <v>922.8499558172141</v>
      </c>
      <c r="E75" s="123">
        <f t="shared" si="17"/>
        <v>1016.4451773856645</v>
      </c>
      <c r="F75" s="123">
        <f t="shared" si="17"/>
        <v>718.1892053809945</v>
      </c>
      <c r="G75" s="123">
        <f t="shared" si="17"/>
        <v>465.51430796070053</v>
      </c>
      <c r="H75" s="123">
        <f t="shared" si="17"/>
        <v>719.6274119351448</v>
      </c>
      <c r="I75" s="123">
        <f t="shared" si="17"/>
        <v>666.3624709196565</v>
      </c>
      <c r="J75" s="123">
        <f t="shared" si="17"/>
        <v>695.6637365613162</v>
      </c>
      <c r="K75" s="123">
        <f t="shared" si="17"/>
        <v>737.796031496978</v>
      </c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</row>
    <row r="76" spans="3:155" ht="13.5" thickTop="1"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</row>
    <row r="77" spans="1:155" ht="15">
      <c r="A77" s="124" t="s">
        <v>607</v>
      </c>
      <c r="B77" s="125"/>
      <c r="C77" s="415">
        <f>NPV(C9,G75:K75)</f>
        <v>2336.241193672102</v>
      </c>
      <c r="D77" s="74"/>
      <c r="E77" s="75"/>
      <c r="F77" s="76"/>
      <c r="G77" s="74"/>
      <c r="H77" s="74"/>
      <c r="I77" s="74"/>
      <c r="J77" s="74"/>
      <c r="K77" s="58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</row>
    <row r="78" spans="1:155" ht="12.75">
      <c r="A78" s="126" t="s">
        <v>61</v>
      </c>
      <c r="B78" s="127"/>
      <c r="C78" s="414">
        <f>((K75*(1+C11))/(C10-C11))/(1+C9)^5</f>
        <v>6963.512100517717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</row>
    <row r="79" spans="1:155" ht="12.75">
      <c r="A79" s="126" t="s">
        <v>62</v>
      </c>
      <c r="B79" s="127"/>
      <c r="C79" s="414">
        <f>SUM(C77:C78)</f>
        <v>9299.753294189819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</row>
    <row r="80" spans="1:155" ht="12.75">
      <c r="A80" s="126" t="s">
        <v>63</v>
      </c>
      <c r="B80" s="127"/>
      <c r="C80" s="414">
        <f>BP_App_B4!C33/1000</f>
        <v>1170.7623112784509</v>
      </c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</row>
    <row r="81" spans="1:155" ht="12.75">
      <c r="A81" s="126" t="s">
        <v>506</v>
      </c>
      <c r="B81" s="127"/>
      <c r="C81" s="414">
        <f>G49</f>
        <v>346.50416869642595</v>
      </c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</row>
    <row r="82" spans="1:155" ht="12.75">
      <c r="A82" s="128" t="s">
        <v>64</v>
      </c>
      <c r="B82" s="129"/>
      <c r="C82" s="416">
        <f>C79-C80+C81</f>
        <v>8475.495151607793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</row>
    <row r="83" spans="1:155" ht="12.75">
      <c r="A83" s="146" t="s">
        <v>98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</row>
    <row r="84" spans="1:155" ht="12.75">
      <c r="A84" s="146" t="s">
        <v>542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</row>
    <row r="85" spans="1:155" ht="12.75">
      <c r="A85" s="146" t="s">
        <v>543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</row>
    <row r="86" spans="1:155" ht="12.75">
      <c r="A86" s="146" t="s">
        <v>587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</row>
    <row r="87" spans="4:155" ht="12.75"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</row>
    <row r="88" spans="4:155" ht="12.75"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</row>
    <row r="89" spans="4:155" ht="12.75"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</row>
    <row r="90" spans="4:155" ht="12.75"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</row>
    <row r="91" spans="4:155" ht="12.75"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</row>
    <row r="92" spans="4:155" ht="12.75"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</row>
    <row r="93" spans="4:155" ht="12.75"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</row>
    <row r="94" spans="4:155" ht="12.75"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</row>
    <row r="95" spans="4:155" ht="12.75"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</row>
    <row r="96" spans="4:155" ht="12.75"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</row>
    <row r="97" spans="4:155" ht="12.75"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</row>
    <row r="98" spans="4:155" ht="12.75"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</row>
    <row r="99" spans="4:155" ht="12.75"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</row>
    <row r="100" spans="4:155" ht="12.75"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</row>
    <row r="101" spans="4:155" ht="12.75"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</row>
    <row r="102" spans="4:155" ht="12.75"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</row>
    <row r="103" spans="4:155" ht="12.7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</row>
    <row r="104" spans="4:155" ht="12.75"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</row>
    <row r="105" spans="4:155" ht="12.75"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</row>
    <row r="106" spans="4:155" ht="12.75"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</row>
    <row r="107" spans="4:155" ht="12.75"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</row>
    <row r="108" spans="4:155" ht="12.75"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</row>
    <row r="109" spans="4:155" ht="12.75"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</row>
    <row r="110" spans="4:155" ht="12.75"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</row>
    <row r="111" spans="4:155" ht="12.75"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</row>
    <row r="112" spans="4:155" ht="12.75"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</row>
    <row r="113" spans="4:155" ht="12.75"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</row>
    <row r="114" spans="4:155" ht="12.75"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</row>
    <row r="115" spans="4:155" ht="12.75"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</row>
    <row r="116" spans="4:155" ht="12.75"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</row>
    <row r="117" spans="4:155" ht="12.75"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/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/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</row>
    <row r="118" spans="4:155" ht="12.75"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/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/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/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</row>
    <row r="119" spans="4:155" ht="12.75"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/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/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</row>
    <row r="120" spans="4:155" ht="12.75"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/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/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/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</row>
    <row r="121" spans="4:155" ht="12.75"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/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/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</row>
    <row r="122" spans="4:155" ht="12.75"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/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/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/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</row>
    <row r="123" spans="4:155" ht="12.75"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/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/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</row>
    <row r="124" spans="4:155" ht="12.75"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/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/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/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</row>
    <row r="125" spans="4:155" ht="12.75"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</row>
    <row r="126" spans="4:155" ht="12.75"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</row>
    <row r="127" spans="4:155" ht="12.75"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74"/>
      <c r="CJ127" s="74"/>
      <c r="CK127" s="74"/>
      <c r="CL127" s="74"/>
      <c r="CM127" s="74"/>
      <c r="CN127" s="74"/>
      <c r="CO127" s="74"/>
      <c r="CP127" s="74"/>
      <c r="CQ127" s="74"/>
      <c r="CR127" s="74"/>
      <c r="CS127" s="74"/>
      <c r="CT127" s="74"/>
      <c r="CU127" s="74"/>
      <c r="CV127" s="74"/>
      <c r="CW127" s="74"/>
      <c r="CX127" s="74"/>
      <c r="CY127" s="74"/>
      <c r="CZ127" s="74"/>
      <c r="DA127" s="74"/>
      <c r="DB127" s="74"/>
      <c r="DC127" s="74"/>
      <c r="DD127" s="74"/>
      <c r="DE127" s="74"/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</row>
    <row r="128" spans="4:155" ht="12.75"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74"/>
      <c r="CB128" s="74"/>
      <c r="CC128" s="74"/>
      <c r="CD128" s="74"/>
      <c r="CE128" s="74"/>
      <c r="CF128" s="74"/>
      <c r="CG128" s="74"/>
      <c r="CH128" s="74"/>
      <c r="CI128" s="74"/>
      <c r="CJ128" s="74"/>
      <c r="CK128" s="74"/>
      <c r="CL128" s="74"/>
      <c r="CM128" s="74"/>
      <c r="CN128" s="74"/>
      <c r="CO128" s="74"/>
      <c r="CP128" s="74"/>
      <c r="CQ128" s="74"/>
      <c r="CR128" s="74"/>
      <c r="CS128" s="74"/>
      <c r="CT128" s="74"/>
      <c r="CU128" s="74"/>
      <c r="CV128" s="74"/>
      <c r="CW128" s="74"/>
      <c r="CX128" s="74"/>
      <c r="CY128" s="74"/>
      <c r="CZ128" s="74"/>
      <c r="DA128" s="74"/>
      <c r="DB128" s="74"/>
      <c r="DC128" s="74"/>
      <c r="DD128" s="74"/>
      <c r="DE128" s="74"/>
      <c r="DF128" s="74"/>
      <c r="DG128" s="74"/>
      <c r="DH128" s="74"/>
      <c r="DI128" s="74"/>
      <c r="DJ128" s="74"/>
      <c r="DK128" s="74"/>
      <c r="DL128" s="74"/>
      <c r="DM128" s="74"/>
      <c r="DN128" s="74"/>
      <c r="DO128" s="74"/>
      <c r="DP128" s="74"/>
      <c r="DQ128" s="74"/>
      <c r="DR128" s="74"/>
      <c r="DS128" s="74"/>
      <c r="DT128" s="74"/>
      <c r="DU128" s="74"/>
      <c r="DV128" s="74"/>
      <c r="DW128" s="74"/>
      <c r="DX128" s="74"/>
      <c r="DY128" s="74"/>
      <c r="DZ128" s="74"/>
      <c r="EA128" s="74"/>
      <c r="EB128" s="74"/>
      <c r="EC128" s="74"/>
      <c r="ED128" s="74"/>
      <c r="EE128" s="74"/>
      <c r="EF128" s="74"/>
      <c r="EG128" s="74"/>
      <c r="EH128" s="74"/>
      <c r="EI128" s="74"/>
      <c r="EJ128" s="74"/>
      <c r="EK128" s="74"/>
      <c r="EL128" s="74"/>
      <c r="EM128" s="74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</row>
    <row r="129" spans="4:155" ht="12.75"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74"/>
      <c r="CN129" s="74"/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74"/>
      <c r="DD129" s="74"/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74"/>
      <c r="DQ129" s="74"/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74"/>
      <c r="ED129" s="74"/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</row>
    <row r="130" spans="4:155" ht="12.75"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74"/>
      <c r="CB130" s="74"/>
      <c r="CC130" s="74"/>
      <c r="CD130" s="74"/>
      <c r="CE130" s="74"/>
      <c r="CF130" s="74"/>
      <c r="CG130" s="74"/>
      <c r="CH130" s="74"/>
      <c r="CI130" s="74"/>
      <c r="CJ130" s="74"/>
      <c r="CK130" s="74"/>
      <c r="CL130" s="74"/>
      <c r="CM130" s="74"/>
      <c r="CN130" s="74"/>
      <c r="CO130" s="74"/>
      <c r="CP130" s="74"/>
      <c r="CQ130" s="74"/>
      <c r="CR130" s="74"/>
      <c r="CS130" s="74"/>
      <c r="CT130" s="74"/>
      <c r="CU130" s="74"/>
      <c r="CV130" s="74"/>
      <c r="CW130" s="74"/>
      <c r="CX130" s="74"/>
      <c r="CY130" s="74"/>
      <c r="CZ130" s="74"/>
      <c r="DA130" s="74"/>
      <c r="DB130" s="74"/>
      <c r="DC130" s="74"/>
      <c r="DD130" s="74"/>
      <c r="DE130" s="74"/>
      <c r="DF130" s="74"/>
      <c r="DG130" s="74"/>
      <c r="DH130" s="74"/>
      <c r="DI130" s="74"/>
      <c r="DJ130" s="74"/>
      <c r="DK130" s="74"/>
      <c r="DL130" s="74"/>
      <c r="DM130" s="74"/>
      <c r="DN130" s="74"/>
      <c r="DO130" s="74"/>
      <c r="DP130" s="74"/>
      <c r="DQ130" s="74"/>
      <c r="DR130" s="74"/>
      <c r="DS130" s="74"/>
      <c r="DT130" s="74"/>
      <c r="DU130" s="74"/>
      <c r="DV130" s="74"/>
      <c r="DW130" s="74"/>
      <c r="DX130" s="74"/>
      <c r="DY130" s="74"/>
      <c r="DZ130" s="74"/>
      <c r="EA130" s="74"/>
      <c r="EB130" s="74"/>
      <c r="EC130" s="74"/>
      <c r="ED130" s="74"/>
      <c r="EE130" s="74"/>
      <c r="EF130" s="74"/>
      <c r="EG130" s="74"/>
      <c r="EH130" s="74"/>
      <c r="EI130" s="74"/>
      <c r="EJ130" s="74"/>
      <c r="EK130" s="74"/>
      <c r="EL130" s="74"/>
      <c r="EM130" s="74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</row>
    <row r="131" spans="4:155" ht="12.75"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74"/>
      <c r="DA131" s="74"/>
      <c r="DB131" s="74"/>
      <c r="DC131" s="74"/>
      <c r="DD131" s="74"/>
      <c r="DE131" s="74"/>
      <c r="DF131" s="74"/>
      <c r="DG131" s="74"/>
      <c r="DH131" s="74"/>
      <c r="DI131" s="74"/>
      <c r="DJ131" s="74"/>
      <c r="DK131" s="74"/>
      <c r="DL131" s="74"/>
      <c r="DM131" s="74"/>
      <c r="DN131" s="74"/>
      <c r="DO131" s="74"/>
      <c r="DP131" s="74"/>
      <c r="DQ131" s="74"/>
      <c r="DR131" s="74"/>
      <c r="DS131" s="74"/>
      <c r="DT131" s="74"/>
      <c r="DU131" s="74"/>
      <c r="DV131" s="74"/>
      <c r="DW131" s="74"/>
      <c r="DX131" s="74"/>
      <c r="DY131" s="74"/>
      <c r="DZ131" s="74"/>
      <c r="EA131" s="74"/>
      <c r="EB131" s="74"/>
      <c r="EC131" s="74"/>
      <c r="ED131" s="74"/>
      <c r="EE131" s="74"/>
      <c r="EF131" s="74"/>
      <c r="EG131" s="74"/>
      <c r="EH131" s="74"/>
      <c r="EI131" s="74"/>
      <c r="EJ131" s="74"/>
      <c r="EK131" s="74"/>
      <c r="EL131" s="74"/>
      <c r="EM131" s="74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</row>
    <row r="132" spans="4:155" ht="12.75"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4"/>
      <c r="CS132" s="74"/>
      <c r="CT132" s="74"/>
      <c r="CU132" s="74"/>
      <c r="CV132" s="74"/>
      <c r="CW132" s="74"/>
      <c r="CX132" s="74"/>
      <c r="CY132" s="74"/>
      <c r="CZ132" s="74"/>
      <c r="DA132" s="74"/>
      <c r="DB132" s="74"/>
      <c r="DC132" s="74"/>
      <c r="DD132" s="74"/>
      <c r="DE132" s="74"/>
      <c r="DF132" s="74"/>
      <c r="DG132" s="74"/>
      <c r="DH132" s="74"/>
      <c r="DI132" s="74"/>
      <c r="DJ132" s="74"/>
      <c r="DK132" s="74"/>
      <c r="DL132" s="74"/>
      <c r="DM132" s="74"/>
      <c r="DN132" s="74"/>
      <c r="DO132" s="74"/>
      <c r="DP132" s="74"/>
      <c r="DQ132" s="74"/>
      <c r="DR132" s="74"/>
      <c r="DS132" s="74"/>
      <c r="DT132" s="74"/>
      <c r="DU132" s="74"/>
      <c r="DV132" s="74"/>
      <c r="DW132" s="74"/>
      <c r="DX132" s="74"/>
      <c r="DY132" s="74"/>
      <c r="DZ132" s="74"/>
      <c r="EA132" s="74"/>
      <c r="EB132" s="74"/>
      <c r="EC132" s="74"/>
      <c r="ED132" s="74"/>
      <c r="EE132" s="74"/>
      <c r="EF132" s="74"/>
      <c r="EG132" s="74"/>
      <c r="EH132" s="74"/>
      <c r="EI132" s="74"/>
      <c r="EJ132" s="74"/>
      <c r="EK132" s="74"/>
      <c r="EL132" s="74"/>
      <c r="EM132" s="74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</row>
    <row r="133" spans="4:155" ht="12.75"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74"/>
      <c r="CB133" s="74"/>
      <c r="CC133" s="74"/>
      <c r="CD133" s="74"/>
      <c r="CE133" s="74"/>
      <c r="CF133" s="74"/>
      <c r="CG133" s="74"/>
      <c r="CH133" s="74"/>
      <c r="CI133" s="74"/>
      <c r="CJ133" s="74"/>
      <c r="CK133" s="74"/>
      <c r="CL133" s="74"/>
      <c r="CM133" s="74"/>
      <c r="CN133" s="74"/>
      <c r="CO133" s="74"/>
      <c r="CP133" s="74"/>
      <c r="CQ133" s="74"/>
      <c r="CR133" s="74"/>
      <c r="CS133" s="74"/>
      <c r="CT133" s="74"/>
      <c r="CU133" s="74"/>
      <c r="CV133" s="74"/>
      <c r="CW133" s="74"/>
      <c r="CX133" s="74"/>
      <c r="CY133" s="74"/>
      <c r="CZ133" s="74"/>
      <c r="DA133" s="74"/>
      <c r="DB133" s="74"/>
      <c r="DC133" s="74"/>
      <c r="DD133" s="74"/>
      <c r="DE133" s="74"/>
      <c r="DF133" s="74"/>
      <c r="DG133" s="74"/>
      <c r="DH133" s="74"/>
      <c r="DI133" s="74"/>
      <c r="DJ133" s="74"/>
      <c r="DK133" s="74"/>
      <c r="DL133" s="74"/>
      <c r="DM133" s="74"/>
      <c r="DN133" s="74"/>
      <c r="DO133" s="74"/>
      <c r="DP133" s="74"/>
      <c r="DQ133" s="74"/>
      <c r="DR133" s="74"/>
      <c r="DS133" s="74"/>
      <c r="DT133" s="74"/>
      <c r="DU133" s="74"/>
      <c r="DV133" s="74"/>
      <c r="DW133" s="74"/>
      <c r="DX133" s="74"/>
      <c r="DY133" s="74"/>
      <c r="DZ133" s="74"/>
      <c r="EA133" s="74"/>
      <c r="EB133" s="74"/>
      <c r="EC133" s="74"/>
      <c r="ED133" s="74"/>
      <c r="EE133" s="74"/>
      <c r="EF133" s="74"/>
      <c r="EG133" s="74"/>
      <c r="EH133" s="74"/>
      <c r="EI133" s="74"/>
      <c r="EJ133" s="74"/>
      <c r="EK133" s="74"/>
      <c r="EL133" s="74"/>
      <c r="EM133" s="74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</row>
    <row r="134" spans="4:155" ht="12.75"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74"/>
      <c r="CB134" s="74"/>
      <c r="CC134" s="74"/>
      <c r="CD134" s="74"/>
      <c r="CE134" s="74"/>
      <c r="CF134" s="74"/>
      <c r="CG134" s="74"/>
      <c r="CH134" s="74"/>
      <c r="CI134" s="74"/>
      <c r="CJ134" s="74"/>
      <c r="CK134" s="74"/>
      <c r="CL134" s="74"/>
      <c r="CM134" s="74"/>
      <c r="CN134" s="74"/>
      <c r="CO134" s="74"/>
      <c r="CP134" s="74"/>
      <c r="CQ134" s="74"/>
      <c r="CR134" s="74"/>
      <c r="CS134" s="74"/>
      <c r="CT134" s="74"/>
      <c r="CU134" s="74"/>
      <c r="CV134" s="74"/>
      <c r="CW134" s="74"/>
      <c r="CX134" s="74"/>
      <c r="CY134" s="74"/>
      <c r="CZ134" s="74"/>
      <c r="DA134" s="74"/>
      <c r="DB134" s="74"/>
      <c r="DC134" s="74"/>
      <c r="DD134" s="74"/>
      <c r="DE134" s="74"/>
      <c r="DF134" s="74"/>
      <c r="DG134" s="74"/>
      <c r="DH134" s="74"/>
      <c r="DI134" s="74"/>
      <c r="DJ134" s="74"/>
      <c r="DK134" s="74"/>
      <c r="DL134" s="74"/>
      <c r="DM134" s="74"/>
      <c r="DN134" s="74"/>
      <c r="DO134" s="74"/>
      <c r="DP134" s="74"/>
      <c r="DQ134" s="74"/>
      <c r="DR134" s="74"/>
      <c r="DS134" s="74"/>
      <c r="DT134" s="74"/>
      <c r="DU134" s="74"/>
      <c r="DV134" s="74"/>
      <c r="DW134" s="74"/>
      <c r="DX134" s="74"/>
      <c r="DY134" s="74"/>
      <c r="DZ134" s="74"/>
      <c r="EA134" s="74"/>
      <c r="EB134" s="74"/>
      <c r="EC134" s="74"/>
      <c r="ED134" s="74"/>
      <c r="EE134" s="74"/>
      <c r="EF134" s="74"/>
      <c r="EG134" s="74"/>
      <c r="EH134" s="74"/>
      <c r="EI134" s="74"/>
      <c r="EJ134" s="74"/>
      <c r="EK134" s="74"/>
      <c r="EL134" s="74"/>
      <c r="EM134" s="74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</row>
    <row r="135" spans="4:155" ht="12.75"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4"/>
      <c r="CS135" s="74"/>
      <c r="CT135" s="74"/>
      <c r="CU135" s="74"/>
      <c r="CV135" s="74"/>
      <c r="CW135" s="74"/>
      <c r="CX135" s="74"/>
      <c r="CY135" s="74"/>
      <c r="CZ135" s="74"/>
      <c r="DA135" s="74"/>
      <c r="DB135" s="74"/>
      <c r="DC135" s="74"/>
      <c r="DD135" s="74"/>
      <c r="DE135" s="74"/>
      <c r="DF135" s="74"/>
      <c r="DG135" s="74"/>
      <c r="DH135" s="74"/>
      <c r="DI135" s="74"/>
      <c r="DJ135" s="74"/>
      <c r="DK135" s="74"/>
      <c r="DL135" s="74"/>
      <c r="DM135" s="74"/>
      <c r="DN135" s="74"/>
      <c r="DO135" s="74"/>
      <c r="DP135" s="74"/>
      <c r="DQ135" s="74"/>
      <c r="DR135" s="74"/>
      <c r="DS135" s="74"/>
      <c r="DT135" s="74"/>
      <c r="DU135" s="74"/>
      <c r="DV135" s="74"/>
      <c r="DW135" s="74"/>
      <c r="DX135" s="74"/>
      <c r="DY135" s="74"/>
      <c r="DZ135" s="74"/>
      <c r="EA135" s="74"/>
      <c r="EB135" s="74"/>
      <c r="EC135" s="74"/>
      <c r="ED135" s="74"/>
      <c r="EE135" s="74"/>
      <c r="EF135" s="74"/>
      <c r="EG135" s="74"/>
      <c r="EH135" s="74"/>
      <c r="EI135" s="74"/>
      <c r="EJ135" s="74"/>
      <c r="EK135" s="74"/>
      <c r="EL135" s="74"/>
      <c r="EM135" s="74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</row>
    <row r="136" spans="4:155" ht="12.75"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74"/>
      <c r="CS136" s="74"/>
      <c r="CT136" s="74"/>
      <c r="CU136" s="74"/>
      <c r="CV136" s="74"/>
      <c r="CW136" s="74"/>
      <c r="CX136" s="74"/>
      <c r="CY136" s="74"/>
      <c r="CZ136" s="74"/>
      <c r="DA136" s="74"/>
      <c r="DB136" s="74"/>
      <c r="DC136" s="74"/>
      <c r="DD136" s="74"/>
      <c r="DE136" s="74"/>
      <c r="DF136" s="74"/>
      <c r="DG136" s="74"/>
      <c r="DH136" s="74"/>
      <c r="DI136" s="74"/>
      <c r="DJ136" s="74"/>
      <c r="DK136" s="74"/>
      <c r="DL136" s="74"/>
      <c r="DM136" s="74"/>
      <c r="DN136" s="74"/>
      <c r="DO136" s="74"/>
      <c r="DP136" s="74"/>
      <c r="DQ136" s="74"/>
      <c r="DR136" s="74"/>
      <c r="DS136" s="74"/>
      <c r="DT136" s="74"/>
      <c r="DU136" s="74"/>
      <c r="DV136" s="74"/>
      <c r="DW136" s="74"/>
      <c r="DX136" s="74"/>
      <c r="DY136" s="74"/>
      <c r="DZ136" s="74"/>
      <c r="EA136" s="74"/>
      <c r="EB136" s="74"/>
      <c r="EC136" s="74"/>
      <c r="ED136" s="74"/>
      <c r="EE136" s="74"/>
      <c r="EF136" s="74"/>
      <c r="EG136" s="74"/>
      <c r="EH136" s="74"/>
      <c r="EI136" s="74"/>
      <c r="EJ136" s="74"/>
      <c r="EK136" s="74"/>
      <c r="EL136" s="74"/>
      <c r="EM136" s="74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</row>
    <row r="137" spans="4:155" ht="12.75"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74"/>
      <c r="CB137" s="74"/>
      <c r="CC137" s="74"/>
      <c r="CD137" s="74"/>
      <c r="CE137" s="74"/>
      <c r="CF137" s="74"/>
      <c r="CG137" s="74"/>
      <c r="CH137" s="74"/>
      <c r="CI137" s="74"/>
      <c r="CJ137" s="74"/>
      <c r="CK137" s="74"/>
      <c r="CL137" s="74"/>
      <c r="CM137" s="74"/>
      <c r="CN137" s="74"/>
      <c r="CO137" s="74"/>
      <c r="CP137" s="74"/>
      <c r="CQ137" s="74"/>
      <c r="CR137" s="74"/>
      <c r="CS137" s="74"/>
      <c r="CT137" s="74"/>
      <c r="CU137" s="74"/>
      <c r="CV137" s="74"/>
      <c r="CW137" s="74"/>
      <c r="CX137" s="74"/>
      <c r="CY137" s="74"/>
      <c r="CZ137" s="74"/>
      <c r="DA137" s="74"/>
      <c r="DB137" s="74"/>
      <c r="DC137" s="74"/>
      <c r="DD137" s="74"/>
      <c r="DE137" s="74"/>
      <c r="DF137" s="74"/>
      <c r="DG137" s="74"/>
      <c r="DH137" s="74"/>
      <c r="DI137" s="74"/>
      <c r="DJ137" s="74"/>
      <c r="DK137" s="74"/>
      <c r="DL137" s="74"/>
      <c r="DM137" s="74"/>
      <c r="DN137" s="74"/>
      <c r="DO137" s="74"/>
      <c r="DP137" s="74"/>
      <c r="DQ137" s="74"/>
      <c r="DR137" s="74"/>
      <c r="DS137" s="74"/>
      <c r="DT137" s="74"/>
      <c r="DU137" s="74"/>
      <c r="DV137" s="74"/>
      <c r="DW137" s="74"/>
      <c r="DX137" s="74"/>
      <c r="DY137" s="74"/>
      <c r="DZ137" s="74"/>
      <c r="EA137" s="74"/>
      <c r="EB137" s="74"/>
      <c r="EC137" s="74"/>
      <c r="ED137" s="74"/>
      <c r="EE137" s="74"/>
      <c r="EF137" s="74"/>
      <c r="EG137" s="74"/>
      <c r="EH137" s="74"/>
      <c r="EI137" s="74"/>
      <c r="EJ137" s="74"/>
      <c r="EK137" s="74"/>
      <c r="EL137" s="74"/>
      <c r="EM137" s="74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</row>
    <row r="138" spans="4:155" ht="12.75"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74"/>
      <c r="CB138" s="74"/>
      <c r="CC138" s="74"/>
      <c r="CD138" s="74"/>
      <c r="CE138" s="74"/>
      <c r="CF138" s="74"/>
      <c r="CG138" s="74"/>
      <c r="CH138" s="74"/>
      <c r="CI138" s="74"/>
      <c r="CJ138" s="74"/>
      <c r="CK138" s="74"/>
      <c r="CL138" s="74"/>
      <c r="CM138" s="74"/>
      <c r="CN138" s="74"/>
      <c r="CO138" s="74"/>
      <c r="CP138" s="74"/>
      <c r="CQ138" s="74"/>
      <c r="CR138" s="74"/>
      <c r="CS138" s="74"/>
      <c r="CT138" s="74"/>
      <c r="CU138" s="74"/>
      <c r="CV138" s="74"/>
      <c r="CW138" s="74"/>
      <c r="CX138" s="74"/>
      <c r="CY138" s="74"/>
      <c r="CZ138" s="74"/>
      <c r="DA138" s="74"/>
      <c r="DB138" s="74"/>
      <c r="DC138" s="74"/>
      <c r="DD138" s="74"/>
      <c r="DE138" s="74"/>
      <c r="DF138" s="74"/>
      <c r="DG138" s="74"/>
      <c r="DH138" s="74"/>
      <c r="DI138" s="74"/>
      <c r="DJ138" s="74"/>
      <c r="DK138" s="74"/>
      <c r="DL138" s="74"/>
      <c r="DM138" s="74"/>
      <c r="DN138" s="74"/>
      <c r="DO138" s="74"/>
      <c r="DP138" s="74"/>
      <c r="DQ138" s="74"/>
      <c r="DR138" s="74"/>
      <c r="DS138" s="74"/>
      <c r="DT138" s="74"/>
      <c r="DU138" s="74"/>
      <c r="DV138" s="74"/>
      <c r="DW138" s="74"/>
      <c r="DX138" s="74"/>
      <c r="DY138" s="74"/>
      <c r="DZ138" s="74"/>
      <c r="EA138" s="74"/>
      <c r="EB138" s="74"/>
      <c r="EC138" s="74"/>
      <c r="ED138" s="74"/>
      <c r="EE138" s="74"/>
      <c r="EF138" s="74"/>
      <c r="EG138" s="74"/>
      <c r="EH138" s="74"/>
      <c r="EI138" s="74"/>
      <c r="EJ138" s="74"/>
      <c r="EK138" s="74"/>
      <c r="EL138" s="74"/>
      <c r="EM138" s="74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</row>
    <row r="139" spans="4:155" ht="12.75"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  <c r="DF139" s="74"/>
      <c r="DG139" s="74"/>
      <c r="DH139" s="74"/>
      <c r="DI139" s="74"/>
      <c r="DJ139" s="74"/>
      <c r="DK139" s="74"/>
      <c r="DL139" s="74"/>
      <c r="DM139" s="74"/>
      <c r="DN139" s="74"/>
      <c r="DO139" s="74"/>
      <c r="DP139" s="74"/>
      <c r="DQ139" s="74"/>
      <c r="DR139" s="74"/>
      <c r="DS139" s="74"/>
      <c r="DT139" s="74"/>
      <c r="DU139" s="74"/>
      <c r="DV139" s="74"/>
      <c r="DW139" s="74"/>
      <c r="DX139" s="74"/>
      <c r="DY139" s="74"/>
      <c r="DZ139" s="74"/>
      <c r="EA139" s="74"/>
      <c r="EB139" s="74"/>
      <c r="EC139" s="74"/>
      <c r="ED139" s="74"/>
      <c r="EE139" s="74"/>
      <c r="EF139" s="74"/>
      <c r="EG139" s="74"/>
      <c r="EH139" s="74"/>
      <c r="EI139" s="74"/>
      <c r="EJ139" s="74"/>
      <c r="EK139" s="74"/>
      <c r="EL139" s="74"/>
      <c r="EM139" s="74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</row>
    <row r="140" spans="4:155" ht="12.75"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4"/>
      <c r="EF140" s="74"/>
      <c r="EG140" s="74"/>
      <c r="EH140" s="74"/>
      <c r="EI140" s="74"/>
      <c r="EJ140" s="74"/>
      <c r="EK140" s="74"/>
      <c r="EL140" s="74"/>
      <c r="EM140" s="74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</row>
    <row r="141" spans="4:155" ht="12.75"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74"/>
      <c r="CB141" s="74"/>
      <c r="CC141" s="74"/>
      <c r="CD141" s="74"/>
      <c r="CE141" s="74"/>
      <c r="CF141" s="74"/>
      <c r="CG141" s="74"/>
      <c r="CH141" s="74"/>
      <c r="CI141" s="74"/>
      <c r="CJ141" s="74"/>
      <c r="CK141" s="74"/>
      <c r="CL141" s="74"/>
      <c r="CM141" s="74"/>
      <c r="CN141" s="74"/>
      <c r="CO141" s="74"/>
      <c r="CP141" s="74"/>
      <c r="CQ141" s="74"/>
      <c r="CR141" s="74"/>
      <c r="CS141" s="74"/>
      <c r="CT141" s="74"/>
      <c r="CU141" s="74"/>
      <c r="CV141" s="74"/>
      <c r="CW141" s="74"/>
      <c r="CX141" s="74"/>
      <c r="CY141" s="74"/>
      <c r="CZ141" s="74"/>
      <c r="DA141" s="74"/>
      <c r="DB141" s="74"/>
      <c r="DC141" s="74"/>
      <c r="DD141" s="74"/>
      <c r="DE141" s="74"/>
      <c r="DF141" s="74"/>
      <c r="DG141" s="74"/>
      <c r="DH141" s="74"/>
      <c r="DI141" s="74"/>
      <c r="DJ141" s="74"/>
      <c r="DK141" s="74"/>
      <c r="DL141" s="74"/>
      <c r="DM141" s="74"/>
      <c r="DN141" s="74"/>
      <c r="DO141" s="74"/>
      <c r="DP141" s="74"/>
      <c r="DQ141" s="74"/>
      <c r="DR141" s="74"/>
      <c r="DS141" s="74"/>
      <c r="DT141" s="74"/>
      <c r="DU141" s="74"/>
      <c r="DV141" s="74"/>
      <c r="DW141" s="74"/>
      <c r="DX141" s="74"/>
      <c r="DY141" s="74"/>
      <c r="DZ141" s="74"/>
      <c r="EA141" s="74"/>
      <c r="EB141" s="74"/>
      <c r="EC141" s="74"/>
      <c r="ED141" s="74"/>
      <c r="EE141" s="74"/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</row>
    <row r="142" spans="4:155" ht="12.75"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/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</row>
    <row r="143" spans="4:155" ht="12.75"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  <c r="CO143" s="74"/>
      <c r="CP143" s="74"/>
      <c r="CQ143" s="74"/>
      <c r="CR143" s="74"/>
      <c r="CS143" s="74"/>
      <c r="CT143" s="74"/>
      <c r="CU143" s="74"/>
      <c r="CV143" s="74"/>
      <c r="CW143" s="74"/>
      <c r="CX143" s="74"/>
      <c r="CY143" s="74"/>
      <c r="CZ143" s="74"/>
      <c r="DA143" s="74"/>
      <c r="DB143" s="74"/>
      <c r="DC143" s="74"/>
      <c r="DD143" s="74"/>
      <c r="DE143" s="74"/>
      <c r="DF143" s="74"/>
      <c r="DG143" s="74"/>
      <c r="DH143" s="74"/>
      <c r="DI143" s="74"/>
      <c r="DJ143" s="74"/>
      <c r="DK143" s="74"/>
      <c r="DL143" s="74"/>
      <c r="DM143" s="74"/>
      <c r="DN143" s="74"/>
      <c r="DO143" s="74"/>
      <c r="DP143" s="74"/>
      <c r="DQ143" s="74"/>
      <c r="DR143" s="74"/>
      <c r="DS143" s="74"/>
      <c r="DT143" s="74"/>
      <c r="DU143" s="74"/>
      <c r="DV143" s="74"/>
      <c r="DW143" s="74"/>
      <c r="DX143" s="74"/>
      <c r="DY143" s="74"/>
      <c r="DZ143" s="74"/>
      <c r="EA143" s="74"/>
      <c r="EB143" s="74"/>
      <c r="EC143" s="74"/>
      <c r="ED143" s="74"/>
      <c r="EE143" s="74"/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</row>
    <row r="144" spans="4:155" ht="12.75"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/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</row>
    <row r="145" spans="4:155" ht="12.75"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/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</row>
    <row r="146" spans="4:155" ht="12.75"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4"/>
      <c r="CS146" s="74"/>
      <c r="CT146" s="74"/>
      <c r="CU146" s="74"/>
      <c r="CV146" s="74"/>
      <c r="CW146" s="74"/>
      <c r="CX146" s="74"/>
      <c r="CY146" s="74"/>
      <c r="CZ146" s="74"/>
      <c r="DA146" s="74"/>
      <c r="DB146" s="74"/>
      <c r="DC146" s="74"/>
      <c r="DD146" s="74"/>
      <c r="DE146" s="74"/>
      <c r="DF146" s="74"/>
      <c r="DG146" s="74"/>
      <c r="DH146" s="74"/>
      <c r="DI146" s="74"/>
      <c r="DJ146" s="74"/>
      <c r="DK146" s="74"/>
      <c r="DL146" s="74"/>
      <c r="DM146" s="74"/>
      <c r="DN146" s="74"/>
      <c r="DO146" s="74"/>
      <c r="DP146" s="74"/>
      <c r="DQ146" s="74"/>
      <c r="DR146" s="74"/>
      <c r="DS146" s="74"/>
      <c r="DT146" s="74"/>
      <c r="DU146" s="74"/>
      <c r="DV146" s="74"/>
      <c r="DW146" s="74"/>
      <c r="DX146" s="74"/>
      <c r="DY146" s="74"/>
      <c r="DZ146" s="74"/>
      <c r="EA146" s="74"/>
      <c r="EB146" s="74"/>
      <c r="EC146" s="74"/>
      <c r="ED146" s="74"/>
      <c r="EE146" s="74"/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</row>
    <row r="147" spans="4:155" ht="12.75"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</row>
    <row r="148" spans="4:155" ht="12.75"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4"/>
      <c r="CS148" s="74"/>
      <c r="CT148" s="74"/>
      <c r="CU148" s="74"/>
      <c r="CV148" s="74"/>
      <c r="CW148" s="74"/>
      <c r="CX148" s="74"/>
      <c r="CY148" s="74"/>
      <c r="CZ148" s="74"/>
      <c r="DA148" s="74"/>
      <c r="DB148" s="74"/>
      <c r="DC148" s="74"/>
      <c r="DD148" s="74"/>
      <c r="DE148" s="74"/>
      <c r="DF148" s="74"/>
      <c r="DG148" s="74"/>
      <c r="DH148" s="74"/>
      <c r="DI148" s="74"/>
      <c r="DJ148" s="74"/>
      <c r="DK148" s="74"/>
      <c r="DL148" s="74"/>
      <c r="DM148" s="74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/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</row>
    <row r="149" spans="4:155" ht="12.75"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/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/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</row>
    <row r="150" spans="4:155" ht="12.75"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74"/>
      <c r="DA150" s="74"/>
      <c r="DB150" s="74"/>
      <c r="DC150" s="74"/>
      <c r="DD150" s="74"/>
      <c r="DE150" s="74"/>
      <c r="DF150" s="74"/>
      <c r="DG150" s="74"/>
      <c r="DH150" s="74"/>
      <c r="DI150" s="74"/>
      <c r="DJ150" s="74"/>
      <c r="DK150" s="74"/>
      <c r="DL150" s="74"/>
      <c r="DM150" s="74"/>
      <c r="DN150" s="74"/>
      <c r="DO150" s="74"/>
      <c r="DP150" s="74"/>
      <c r="DQ150" s="74"/>
      <c r="DR150" s="74"/>
      <c r="DS150" s="74"/>
      <c r="DT150" s="74"/>
      <c r="DU150" s="74"/>
      <c r="DV150" s="74"/>
      <c r="DW150" s="74"/>
      <c r="DX150" s="74"/>
      <c r="DY150" s="74"/>
      <c r="DZ150" s="74"/>
      <c r="EA150" s="74"/>
      <c r="EB150" s="74"/>
      <c r="EC150" s="74"/>
      <c r="ED150" s="74"/>
      <c r="EE150" s="74"/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</row>
    <row r="151" spans="4:155" ht="12.75"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4"/>
      <c r="CI151" s="74"/>
      <c r="CJ151" s="74"/>
      <c r="CK151" s="74"/>
      <c r="CL151" s="74"/>
      <c r="CM151" s="74"/>
      <c r="CN151" s="74"/>
      <c r="CO151" s="74"/>
      <c r="CP151" s="74"/>
      <c r="CQ151" s="74"/>
      <c r="CR151" s="74"/>
      <c r="CS151" s="74"/>
      <c r="CT151" s="74"/>
      <c r="CU151" s="74"/>
      <c r="CV151" s="74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</row>
    <row r="152" spans="4:155" ht="12.75"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/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</row>
    <row r="153" spans="4:155" ht="12.75"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74"/>
      <c r="CB153" s="74"/>
      <c r="CC153" s="74"/>
      <c r="CD153" s="74"/>
      <c r="CE153" s="74"/>
      <c r="CF153" s="74"/>
      <c r="CG153" s="74"/>
      <c r="CH153" s="74"/>
      <c r="CI153" s="74"/>
      <c r="CJ153" s="74"/>
      <c r="CK153" s="74"/>
      <c r="CL153" s="74"/>
      <c r="CM153" s="74"/>
      <c r="CN153" s="74"/>
      <c r="CO153" s="74"/>
      <c r="CP153" s="74"/>
      <c r="CQ153" s="74"/>
      <c r="CR153" s="74"/>
      <c r="CS153" s="74"/>
      <c r="CT153" s="74"/>
      <c r="CU153" s="74"/>
      <c r="CV153" s="74"/>
      <c r="CW153" s="74"/>
      <c r="CX153" s="74"/>
      <c r="CY153" s="74"/>
      <c r="CZ153" s="74"/>
      <c r="DA153" s="74"/>
      <c r="DB153" s="74"/>
      <c r="DC153" s="74"/>
      <c r="DD153" s="74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</row>
    <row r="154" spans="4:155" ht="12.75"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74"/>
      <c r="CB154" s="74"/>
      <c r="CC154" s="74"/>
      <c r="CD154" s="74"/>
      <c r="CE154" s="74"/>
      <c r="CF154" s="74"/>
      <c r="CG154" s="74"/>
      <c r="CH154" s="74"/>
      <c r="CI154" s="74"/>
      <c r="CJ154" s="74"/>
      <c r="CK154" s="74"/>
      <c r="CL154" s="74"/>
      <c r="CM154" s="74"/>
      <c r="CN154" s="74"/>
      <c r="CO154" s="74"/>
      <c r="CP154" s="74"/>
      <c r="CQ154" s="74"/>
      <c r="CR154" s="74"/>
      <c r="CS154" s="74"/>
      <c r="CT154" s="74"/>
      <c r="CU154" s="74"/>
      <c r="CV154" s="74"/>
      <c r="CW154" s="74"/>
      <c r="CX154" s="74"/>
      <c r="CY154" s="74"/>
      <c r="CZ154" s="74"/>
      <c r="DA154" s="74"/>
      <c r="DB154" s="74"/>
      <c r="DC154" s="74"/>
      <c r="DD154" s="74"/>
      <c r="DE154" s="74"/>
      <c r="DF154" s="74"/>
      <c r="DG154" s="74"/>
      <c r="DH154" s="74"/>
      <c r="DI154" s="74"/>
      <c r="DJ154" s="74"/>
      <c r="DK154" s="74"/>
      <c r="DL154" s="74"/>
      <c r="DM154" s="74"/>
      <c r="DN154" s="74"/>
      <c r="DO154" s="74"/>
      <c r="DP154" s="74"/>
      <c r="DQ154" s="74"/>
      <c r="DR154" s="74"/>
      <c r="DS154" s="74"/>
      <c r="DT154" s="74"/>
      <c r="DU154" s="74"/>
      <c r="DV154" s="74"/>
      <c r="DW154" s="74"/>
      <c r="DX154" s="74"/>
      <c r="DY154" s="74"/>
      <c r="DZ154" s="74"/>
      <c r="EA154" s="74"/>
      <c r="EB154" s="74"/>
      <c r="EC154" s="74"/>
      <c r="ED154" s="74"/>
      <c r="EE154" s="74"/>
      <c r="EF154" s="74"/>
      <c r="EG154" s="74"/>
      <c r="EH154" s="74"/>
      <c r="EI154" s="74"/>
      <c r="EJ154" s="74"/>
      <c r="EK154" s="74"/>
      <c r="EL154" s="74"/>
      <c r="EM154" s="74"/>
      <c r="EN154" s="74"/>
      <c r="EO154" s="74"/>
      <c r="EP154" s="74"/>
      <c r="EQ154" s="74"/>
      <c r="ER154" s="74"/>
      <c r="ES154" s="74"/>
      <c r="ET154" s="74"/>
      <c r="EU154" s="74"/>
      <c r="EV154" s="74"/>
      <c r="EW154" s="74"/>
      <c r="EX154" s="74"/>
      <c r="EY154" s="74"/>
    </row>
    <row r="155" spans="4:155" ht="12.75"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74"/>
      <c r="CB155" s="74"/>
      <c r="CC155" s="74"/>
      <c r="CD155" s="74"/>
      <c r="CE155" s="74"/>
      <c r="CF155" s="74"/>
      <c r="CG155" s="74"/>
      <c r="CH155" s="74"/>
      <c r="CI155" s="74"/>
      <c r="CJ155" s="74"/>
      <c r="CK155" s="74"/>
      <c r="CL155" s="74"/>
      <c r="CM155" s="74"/>
      <c r="CN155" s="74"/>
      <c r="CO155" s="74"/>
      <c r="CP155" s="74"/>
      <c r="CQ155" s="74"/>
      <c r="CR155" s="74"/>
      <c r="CS155" s="74"/>
      <c r="CT155" s="74"/>
      <c r="CU155" s="74"/>
      <c r="CV155" s="74"/>
      <c r="CW155" s="74"/>
      <c r="CX155" s="74"/>
      <c r="CY155" s="74"/>
      <c r="CZ155" s="74"/>
      <c r="DA155" s="74"/>
      <c r="DB155" s="74"/>
      <c r="DC155" s="74"/>
      <c r="DD155" s="74"/>
      <c r="DE155" s="74"/>
      <c r="DF155" s="74"/>
      <c r="DG155" s="74"/>
      <c r="DH155" s="74"/>
      <c r="DI155" s="74"/>
      <c r="DJ155" s="74"/>
      <c r="DK155" s="74"/>
      <c r="DL155" s="74"/>
      <c r="DM155" s="74"/>
      <c r="DN155" s="74"/>
      <c r="DO155" s="74"/>
      <c r="DP155" s="74"/>
      <c r="DQ155" s="74"/>
      <c r="DR155" s="74"/>
      <c r="DS155" s="74"/>
      <c r="DT155" s="74"/>
      <c r="DU155" s="74"/>
      <c r="DV155" s="74"/>
      <c r="DW155" s="74"/>
      <c r="DX155" s="74"/>
      <c r="DY155" s="74"/>
      <c r="DZ155" s="74"/>
      <c r="EA155" s="74"/>
      <c r="EB155" s="74"/>
      <c r="EC155" s="74"/>
      <c r="ED155" s="74"/>
      <c r="EE155" s="74"/>
      <c r="EF155" s="74"/>
      <c r="EG155" s="74"/>
      <c r="EH155" s="74"/>
      <c r="EI155" s="74"/>
      <c r="EJ155" s="74"/>
      <c r="EK155" s="74"/>
      <c r="EL155" s="74"/>
      <c r="EM155" s="74"/>
      <c r="EN155" s="74"/>
      <c r="EO155" s="74"/>
      <c r="EP155" s="74"/>
      <c r="EQ155" s="74"/>
      <c r="ER155" s="74"/>
      <c r="ES155" s="74"/>
      <c r="ET155" s="74"/>
      <c r="EU155" s="74"/>
      <c r="EV155" s="74"/>
      <c r="EW155" s="74"/>
      <c r="EX155" s="74"/>
      <c r="EY155" s="74"/>
    </row>
    <row r="156" spans="4:155" ht="12.75"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74"/>
      <c r="DA156" s="74"/>
      <c r="DB156" s="74"/>
      <c r="DC156" s="74"/>
      <c r="DD156" s="74"/>
      <c r="DE156" s="74"/>
      <c r="DF156" s="74"/>
      <c r="DG156" s="74"/>
      <c r="DH156" s="74"/>
      <c r="DI156" s="74"/>
      <c r="DJ156" s="74"/>
      <c r="DK156" s="74"/>
      <c r="DL156" s="74"/>
      <c r="DM156" s="74"/>
      <c r="DN156" s="74"/>
      <c r="DO156" s="74"/>
      <c r="DP156" s="74"/>
      <c r="DQ156" s="74"/>
      <c r="DR156" s="74"/>
      <c r="DS156" s="74"/>
      <c r="DT156" s="74"/>
      <c r="DU156" s="74"/>
      <c r="DV156" s="74"/>
      <c r="DW156" s="74"/>
      <c r="DX156" s="74"/>
      <c r="DY156" s="74"/>
      <c r="DZ156" s="74"/>
      <c r="EA156" s="74"/>
      <c r="EB156" s="74"/>
      <c r="EC156" s="74"/>
      <c r="ED156" s="74"/>
      <c r="EE156" s="74"/>
      <c r="EF156" s="74"/>
      <c r="EG156" s="74"/>
      <c r="EH156" s="74"/>
      <c r="EI156" s="74"/>
      <c r="EJ156" s="74"/>
      <c r="EK156" s="74"/>
      <c r="EL156" s="74"/>
      <c r="EM156" s="74"/>
      <c r="EN156" s="74"/>
      <c r="EO156" s="74"/>
      <c r="EP156" s="74"/>
      <c r="EQ156" s="74"/>
      <c r="ER156" s="74"/>
      <c r="ES156" s="74"/>
      <c r="ET156" s="74"/>
      <c r="EU156" s="74"/>
      <c r="EV156" s="74"/>
      <c r="EW156" s="74"/>
      <c r="EX156" s="74"/>
      <c r="EY156" s="74"/>
    </row>
    <row r="157" spans="4:155" ht="12.75"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74"/>
      <c r="CB157" s="74"/>
      <c r="CC157" s="74"/>
      <c r="CD157" s="74"/>
      <c r="CE157" s="74"/>
      <c r="CF157" s="74"/>
      <c r="CG157" s="74"/>
      <c r="CH157" s="74"/>
      <c r="CI157" s="74"/>
      <c r="CJ157" s="74"/>
      <c r="CK157" s="74"/>
      <c r="CL157" s="74"/>
      <c r="CM157" s="74"/>
      <c r="CN157" s="74"/>
      <c r="CO157" s="74"/>
      <c r="CP157" s="74"/>
      <c r="CQ157" s="74"/>
      <c r="CR157" s="74"/>
      <c r="CS157" s="74"/>
      <c r="CT157" s="74"/>
      <c r="CU157" s="74"/>
      <c r="CV157" s="74"/>
      <c r="CW157" s="74"/>
      <c r="CX157" s="74"/>
      <c r="CY157" s="74"/>
      <c r="CZ157" s="74"/>
      <c r="DA157" s="74"/>
      <c r="DB157" s="74"/>
      <c r="DC157" s="74"/>
      <c r="DD157" s="74"/>
      <c r="DE157" s="74"/>
      <c r="DF157" s="74"/>
      <c r="DG157" s="74"/>
      <c r="DH157" s="74"/>
      <c r="DI157" s="74"/>
      <c r="DJ157" s="74"/>
      <c r="DK157" s="74"/>
      <c r="DL157" s="74"/>
      <c r="DM157" s="74"/>
      <c r="DN157" s="74"/>
      <c r="DO157" s="74"/>
      <c r="DP157" s="74"/>
      <c r="DQ157" s="74"/>
      <c r="DR157" s="74"/>
      <c r="DS157" s="74"/>
      <c r="DT157" s="74"/>
      <c r="DU157" s="74"/>
      <c r="DV157" s="74"/>
      <c r="DW157" s="74"/>
      <c r="DX157" s="74"/>
      <c r="DY157" s="74"/>
      <c r="DZ157" s="74"/>
      <c r="EA157" s="74"/>
      <c r="EB157" s="74"/>
      <c r="EC157" s="74"/>
      <c r="ED157" s="74"/>
      <c r="EE157" s="74"/>
      <c r="EF157" s="74"/>
      <c r="EG157" s="74"/>
      <c r="EH157" s="74"/>
      <c r="EI157" s="74"/>
      <c r="EJ157" s="74"/>
      <c r="EK157" s="74"/>
      <c r="EL157" s="74"/>
      <c r="EM157" s="74"/>
      <c r="EN157" s="74"/>
      <c r="EO157" s="74"/>
      <c r="EP157" s="74"/>
      <c r="EQ157" s="74"/>
      <c r="ER157" s="74"/>
      <c r="ES157" s="74"/>
      <c r="ET157" s="74"/>
      <c r="EU157" s="74"/>
      <c r="EV157" s="74"/>
      <c r="EW157" s="74"/>
      <c r="EX157" s="74"/>
      <c r="EY157" s="74"/>
    </row>
    <row r="158" spans="4:155" ht="12.75"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74"/>
      <c r="CB158" s="74"/>
      <c r="CC158" s="74"/>
      <c r="CD158" s="74"/>
      <c r="CE158" s="74"/>
      <c r="CF158" s="74"/>
      <c r="CG158" s="74"/>
      <c r="CH158" s="74"/>
      <c r="CI158" s="74"/>
      <c r="CJ158" s="74"/>
      <c r="CK158" s="74"/>
      <c r="CL158" s="74"/>
      <c r="CM158" s="74"/>
      <c r="CN158" s="74"/>
      <c r="CO158" s="74"/>
      <c r="CP158" s="74"/>
      <c r="CQ158" s="74"/>
      <c r="CR158" s="74"/>
      <c r="CS158" s="74"/>
      <c r="CT158" s="74"/>
      <c r="CU158" s="74"/>
      <c r="CV158" s="74"/>
      <c r="CW158" s="74"/>
      <c r="CX158" s="74"/>
      <c r="CY158" s="74"/>
      <c r="CZ158" s="74"/>
      <c r="DA158" s="74"/>
      <c r="DB158" s="74"/>
      <c r="DC158" s="74"/>
      <c r="DD158" s="74"/>
      <c r="DE158" s="74"/>
      <c r="DF158" s="74"/>
      <c r="DG158" s="74"/>
      <c r="DH158" s="74"/>
      <c r="DI158" s="74"/>
      <c r="DJ158" s="74"/>
      <c r="DK158" s="74"/>
      <c r="DL158" s="74"/>
      <c r="DM158" s="74"/>
      <c r="DN158" s="74"/>
      <c r="DO158" s="74"/>
      <c r="DP158" s="74"/>
      <c r="DQ158" s="74"/>
      <c r="DR158" s="74"/>
      <c r="DS158" s="74"/>
      <c r="DT158" s="74"/>
      <c r="DU158" s="74"/>
      <c r="DV158" s="74"/>
      <c r="DW158" s="74"/>
      <c r="DX158" s="74"/>
      <c r="DY158" s="74"/>
      <c r="DZ158" s="74"/>
      <c r="EA158" s="74"/>
      <c r="EB158" s="74"/>
      <c r="EC158" s="74"/>
      <c r="ED158" s="74"/>
      <c r="EE158" s="74"/>
      <c r="EF158" s="74"/>
      <c r="EG158" s="74"/>
      <c r="EH158" s="74"/>
      <c r="EI158" s="74"/>
      <c r="EJ158" s="74"/>
      <c r="EK158" s="74"/>
      <c r="EL158" s="74"/>
      <c r="EM158" s="74"/>
      <c r="EN158" s="74"/>
      <c r="EO158" s="74"/>
      <c r="EP158" s="74"/>
      <c r="EQ158" s="74"/>
      <c r="ER158" s="74"/>
      <c r="ES158" s="74"/>
      <c r="ET158" s="74"/>
      <c r="EU158" s="74"/>
      <c r="EV158" s="74"/>
      <c r="EW158" s="74"/>
      <c r="EX158" s="74"/>
      <c r="EY158" s="74"/>
    </row>
    <row r="159" spans="4:155" ht="12.75"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74"/>
      <c r="CB159" s="74"/>
      <c r="CC159" s="74"/>
      <c r="CD159" s="74"/>
      <c r="CE159" s="74"/>
      <c r="CF159" s="74"/>
      <c r="CG159" s="74"/>
      <c r="CH159" s="74"/>
      <c r="CI159" s="74"/>
      <c r="CJ159" s="74"/>
      <c r="CK159" s="74"/>
      <c r="CL159" s="74"/>
      <c r="CM159" s="74"/>
      <c r="CN159" s="74"/>
      <c r="CO159" s="74"/>
      <c r="CP159" s="74"/>
      <c r="CQ159" s="74"/>
      <c r="CR159" s="74"/>
      <c r="CS159" s="74"/>
      <c r="CT159" s="74"/>
      <c r="CU159" s="74"/>
      <c r="CV159" s="74"/>
      <c r="CW159" s="74"/>
      <c r="CX159" s="74"/>
      <c r="CY159" s="74"/>
      <c r="CZ159" s="74"/>
      <c r="DA159" s="74"/>
      <c r="DB159" s="74"/>
      <c r="DC159" s="74"/>
      <c r="DD159" s="74"/>
      <c r="DE159" s="74"/>
      <c r="DF159" s="74"/>
      <c r="DG159" s="74"/>
      <c r="DH159" s="74"/>
      <c r="DI159" s="74"/>
      <c r="DJ159" s="74"/>
      <c r="DK159" s="74"/>
      <c r="DL159" s="74"/>
      <c r="DM159" s="74"/>
      <c r="DN159" s="74"/>
      <c r="DO159" s="74"/>
      <c r="DP159" s="74"/>
      <c r="DQ159" s="74"/>
      <c r="DR159" s="74"/>
      <c r="DS159" s="74"/>
      <c r="DT159" s="74"/>
      <c r="DU159" s="74"/>
      <c r="DV159" s="74"/>
      <c r="DW159" s="74"/>
      <c r="DX159" s="74"/>
      <c r="DY159" s="74"/>
      <c r="DZ159" s="74"/>
      <c r="EA159" s="74"/>
      <c r="EB159" s="74"/>
      <c r="EC159" s="74"/>
      <c r="ED159" s="74"/>
      <c r="EE159" s="74"/>
      <c r="EF159" s="74"/>
      <c r="EG159" s="74"/>
      <c r="EH159" s="74"/>
      <c r="EI159" s="74"/>
      <c r="EJ159" s="74"/>
      <c r="EK159" s="74"/>
      <c r="EL159" s="74"/>
      <c r="EM159" s="74"/>
      <c r="EN159" s="74"/>
      <c r="EO159" s="74"/>
      <c r="EP159" s="74"/>
      <c r="EQ159" s="74"/>
      <c r="ER159" s="74"/>
      <c r="ES159" s="74"/>
      <c r="ET159" s="74"/>
      <c r="EU159" s="74"/>
      <c r="EV159" s="74"/>
      <c r="EW159" s="74"/>
      <c r="EX159" s="74"/>
      <c r="EY159" s="74"/>
    </row>
    <row r="160" spans="4:155" ht="12.75"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74"/>
      <c r="CB160" s="74"/>
      <c r="CC160" s="74"/>
      <c r="CD160" s="74"/>
      <c r="CE160" s="74"/>
      <c r="CF160" s="74"/>
      <c r="CG160" s="74"/>
      <c r="CH160" s="74"/>
      <c r="CI160" s="74"/>
      <c r="CJ160" s="74"/>
      <c r="CK160" s="74"/>
      <c r="CL160" s="74"/>
      <c r="CM160" s="74"/>
      <c r="CN160" s="74"/>
      <c r="CO160" s="74"/>
      <c r="CP160" s="74"/>
      <c r="CQ160" s="74"/>
      <c r="CR160" s="74"/>
      <c r="CS160" s="74"/>
      <c r="CT160" s="74"/>
      <c r="CU160" s="74"/>
      <c r="CV160" s="74"/>
      <c r="CW160" s="74"/>
      <c r="CX160" s="74"/>
      <c r="CY160" s="74"/>
      <c r="CZ160" s="74"/>
      <c r="DA160" s="74"/>
      <c r="DB160" s="74"/>
      <c r="DC160" s="74"/>
      <c r="DD160" s="74"/>
      <c r="DE160" s="74"/>
      <c r="DF160" s="74"/>
      <c r="DG160" s="74"/>
      <c r="DH160" s="74"/>
      <c r="DI160" s="74"/>
      <c r="DJ160" s="74"/>
      <c r="DK160" s="74"/>
      <c r="DL160" s="74"/>
      <c r="DM160" s="74"/>
      <c r="DN160" s="74"/>
      <c r="DO160" s="74"/>
      <c r="DP160" s="74"/>
      <c r="DQ160" s="74"/>
      <c r="DR160" s="74"/>
      <c r="DS160" s="74"/>
      <c r="DT160" s="74"/>
      <c r="DU160" s="74"/>
      <c r="DV160" s="74"/>
      <c r="DW160" s="74"/>
      <c r="DX160" s="74"/>
      <c r="DY160" s="74"/>
      <c r="DZ160" s="74"/>
      <c r="EA160" s="74"/>
      <c r="EB160" s="74"/>
      <c r="EC160" s="74"/>
      <c r="ED160" s="74"/>
      <c r="EE160" s="74"/>
      <c r="EF160" s="74"/>
      <c r="EG160" s="74"/>
      <c r="EH160" s="74"/>
      <c r="EI160" s="74"/>
      <c r="EJ160" s="74"/>
      <c r="EK160" s="74"/>
      <c r="EL160" s="74"/>
      <c r="EM160" s="74"/>
      <c r="EN160" s="74"/>
      <c r="EO160" s="74"/>
      <c r="EP160" s="74"/>
      <c r="EQ160" s="74"/>
      <c r="ER160" s="74"/>
      <c r="ES160" s="74"/>
      <c r="ET160" s="74"/>
      <c r="EU160" s="74"/>
      <c r="EV160" s="74"/>
      <c r="EW160" s="74"/>
      <c r="EX160" s="74"/>
      <c r="EY160" s="74"/>
    </row>
  </sheetData>
  <sheetProtection/>
  <mergeCells count="3">
    <mergeCell ref="G16:K16"/>
    <mergeCell ref="C16:F16"/>
    <mergeCell ref="C1:K1"/>
  </mergeCells>
  <printOptions/>
  <pageMargins left="0.75" right="0.75" top="1.06" bottom="0.62" header="0.52" footer="0.3"/>
  <pageSetup horizontalDpi="300" verticalDpi="300" orientation="landscape" scale="80" r:id="rId1"/>
  <headerFooter alignWithMargins="0">
    <oddHeader>&amp;C&amp;"Arial,Bold"&amp;14Acquisition Plan - JAKKS
Forecast 2001 -2005 and Valuation of Combined Companies &amp;RAppendix C</oddHeader>
    <oddFooter>&amp;LAcquisition Plan JAKKS&amp;C&amp;P of &amp;N&amp;R&amp;D</oddFoot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DePamphilis</dc:creator>
  <cp:keywords/>
  <dc:description/>
  <cp:lastModifiedBy>Don</cp:lastModifiedBy>
  <cp:lastPrinted>2008-07-30T17:51:04Z</cp:lastPrinted>
  <dcterms:created xsi:type="dcterms:W3CDTF">2002-03-24T21:15:45Z</dcterms:created>
  <dcterms:modified xsi:type="dcterms:W3CDTF">2011-11-17T07:34:33Z</dcterms:modified>
  <cp:category/>
  <cp:version/>
  <cp:contentType/>
  <cp:contentStatus/>
</cp:coreProperties>
</file>