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<sst xmlns="http://schemas.openxmlformats.org/spreadsheetml/2006/main" count="62" uniqueCount="62">
  <si>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B-</t>
  </si>
  <si>
    <t>Notes:</t>
  </si>
  <si>
    <t>9.6 years</t>
  </si>
  <si>
    <t>A</t>
  </si>
  <si>
    <t>.15 - .25</t>
  </si>
  <si>
    <t>Specific Company Data: McClatchy</t>
  </si>
  <si>
    <t xml:space="preserve">     Fully Diluted Shares outstanding</t>
  </si>
  <si>
    <t xml:space="preserve">     Price/sh @3/10/2010</t>
  </si>
  <si>
    <t xml:space="preserve">     Equity Premium</t>
  </si>
  <si>
    <t xml:space="preserve">     10 Year Treasury Bond Rate (%)</t>
  </si>
  <si>
    <t xml:space="preserve">     PV Terminal Value</t>
  </si>
  <si>
    <t xml:space="preserve">          Total PV</t>
  </si>
  <si>
    <t xml:space="preserve">     Plus: PV of Tax Shield</t>
  </si>
  <si>
    <t xml:space="preserve">     Less: Expected Cost of Bankruptcy @15%</t>
  </si>
  <si>
    <t xml:space="preserve">     Less: Market Value of Debt</t>
  </si>
  <si>
    <t xml:space="preserve">     Equals: Equity Value</t>
  </si>
  <si>
    <t xml:space="preserve">     Equals: Equity Value Per Share</t>
  </si>
  <si>
    <t xml:space="preserve">     McClatchy Credit Rating</t>
  </si>
  <si>
    <r>
      <t xml:space="preserve">     Comparable Company Unlevered Beta</t>
    </r>
    <r>
      <rPr>
        <vertAlign val="superscript"/>
        <sz val="10"/>
        <rFont val="Arial"/>
        <family val="2"/>
      </rPr>
      <t>a</t>
    </r>
  </si>
  <si>
    <t xml:space="preserve">              Expected Cost of Bankruptcy @20%</t>
  </si>
  <si>
    <t xml:space="preserve">              Expected Cost of Bankruptcy @25%</t>
  </si>
  <si>
    <r>
      <t xml:space="preserve">     Cum. Probability of Default for Firm Rated B-</t>
    </r>
    <r>
      <rPr>
        <vertAlign val="superscript"/>
        <sz val="10"/>
        <rFont val="Arial"/>
        <family val="2"/>
      </rPr>
      <t>b</t>
    </r>
  </si>
  <si>
    <r>
      <t>b</t>
    </r>
    <r>
      <rPr>
        <sz val="10"/>
        <rFont val="Arial"/>
        <family val="0"/>
      </rPr>
      <t xml:space="preserve">See Exhibit 13 -   in Chapter 13. </t>
    </r>
  </si>
  <si>
    <t>General Assumptions:</t>
  </si>
  <si>
    <t>McClatchy Company Assumptions:</t>
  </si>
  <si>
    <t>Present Value:</t>
  </si>
  <si>
    <t xml:space="preserve">     PV Equity Cash Flow @9.89%</t>
  </si>
  <si>
    <t xml:space="preserve">     Market Value (MV) of Equity 3/10/2010</t>
  </si>
  <si>
    <t xml:space="preserve">     MV of Debt / MV of Equity Ratio</t>
  </si>
  <si>
    <t xml:space="preserve">     Weighted average maturity of Mclatchy debt</t>
  </si>
  <si>
    <r>
      <t>c</t>
    </r>
    <r>
      <rPr>
        <sz val="10"/>
        <rFont val="Arial"/>
        <family val="2"/>
      </rPr>
      <t>Market value of debt = Interest Expense x {[1 - 1 / (1 + i)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 xml:space="preserve"> ] / 1+ i}  + Face value of debt / (1+ i)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 xml:space="preserve"> = </t>
    </r>
  </si>
  <si>
    <r>
      <t xml:space="preserve">     Market Value (MV) of Debt 3/10/2010</t>
    </r>
    <r>
      <rPr>
        <vertAlign val="superscript"/>
        <sz val="10"/>
        <rFont val="Arial"/>
        <family val="2"/>
      </rPr>
      <t>c</t>
    </r>
  </si>
  <si>
    <t xml:space="preserve">                                                        = 1.924 / (1 + (1 - .4) x 1.16) = 1.1344 (Based on top 10 U.S. newspapers in terms of market capitalization.</t>
  </si>
  <si>
    <t xml:space="preserve">     Revenue</t>
  </si>
  <si>
    <t xml:space="preserve">     Gross Capital Spending</t>
  </si>
  <si>
    <t xml:space="preserve">     Principal Repayments</t>
  </si>
  <si>
    <t xml:space="preserve">     Dividends Paid</t>
  </si>
  <si>
    <t xml:space="preserve">     Equity Cash Flow</t>
  </si>
  <si>
    <t xml:space="preserve">     Interest expense</t>
  </si>
  <si>
    <t xml:space="preserve">     Net Income (3.8% of revenue)</t>
  </si>
  <si>
    <t xml:space="preserve">     Depreciation (8% of revenue)</t>
  </si>
  <si>
    <t xml:space="preserve">     Change in Working Capital (3.5% of revenue)</t>
  </si>
  <si>
    <t xml:space="preserve">     Tax Shield (40% of interest expense)</t>
  </si>
  <si>
    <t xml:space="preserve">     Target Debt / Equity Ratio @2015</t>
  </si>
  <si>
    <t xml:space="preserve">     Expected Cost of Bankruptcy (% of Firm Value)</t>
  </si>
  <si>
    <t xml:space="preserve">     Terminal Period Growth Rate</t>
  </si>
  <si>
    <t xml:space="preserve">     Price to Earnings Ratio</t>
  </si>
  <si>
    <r>
      <t xml:space="preserve">     Implied Target Debt/Total Capital Ratio @2015</t>
    </r>
    <r>
      <rPr>
        <vertAlign val="superscript"/>
        <sz val="10"/>
        <rFont val="Arial"/>
        <family val="2"/>
      </rPr>
      <t>d</t>
    </r>
  </si>
  <si>
    <r>
      <t>d</t>
    </r>
    <r>
      <rPr>
        <sz val="10"/>
        <rFont val="Arial"/>
        <family val="2"/>
      </rPr>
      <t>Implied debt to total capital ratio = (D/E) / (1 + D/E) =.33 / 1.33 = .25</t>
    </r>
  </si>
  <si>
    <r>
      <t>e</t>
    </r>
    <r>
      <rPr>
        <sz val="10"/>
        <rFont val="Arial"/>
        <family val="2"/>
      </rPr>
      <t>Cost of debt equals the risk free rate of 3.65 percent plus a 7 percent default spread based on McClatchy's rating of B- from S&amp;P</t>
    </r>
  </si>
  <si>
    <r>
      <t xml:space="preserve">     Current Cost of Debt</t>
    </r>
    <r>
      <rPr>
        <vertAlign val="superscript"/>
        <sz val="10"/>
        <rFont val="Arial"/>
        <family val="2"/>
      </rPr>
      <t>e</t>
    </r>
  </si>
  <si>
    <r>
      <t xml:space="preserve">     Unlevered Cost of Equity (2011 - 2015)</t>
    </r>
    <r>
      <rPr>
        <vertAlign val="superscript"/>
        <sz val="10"/>
        <rFont val="Arial"/>
        <family val="2"/>
      </rPr>
      <t>f</t>
    </r>
  </si>
  <si>
    <r>
      <t xml:space="preserve">     Terminal Period WACC</t>
    </r>
    <r>
      <rPr>
        <vertAlign val="superscript"/>
        <sz val="10"/>
        <rFont val="Arial"/>
        <family val="2"/>
      </rPr>
      <t>g</t>
    </r>
  </si>
  <si>
    <r>
      <t>a</t>
    </r>
    <r>
      <rPr>
        <sz val="10"/>
        <rFont val="Arial"/>
        <family val="0"/>
      </rPr>
      <t>Comparable company unlevered beta = comparable company levered beta / (1 + (1 - marginal tax rate) x comparable company debt / equity) =</t>
    </r>
  </si>
  <si>
    <r>
      <t>f</t>
    </r>
    <r>
      <rPr>
        <sz val="10"/>
        <rFont val="Arial"/>
        <family val="0"/>
      </rPr>
      <t>Unlevered Cost of Equity = .0365 + 1.1344 (.055) = .0989</t>
    </r>
  </si>
  <si>
    <r>
      <t>g</t>
    </r>
    <r>
      <rPr>
        <sz val="10"/>
        <rFont val="Arial"/>
        <family val="0"/>
      </rPr>
      <t>Terminal Period WACC = .25 x (1 - .4) x .08 + .75 x .0989 = .012 + .0742 = .0862</t>
    </r>
  </si>
  <si>
    <r>
      <t xml:space="preserve">                               = $107,353,000 x {[1 - 1 / (1.1065)</t>
    </r>
    <r>
      <rPr>
        <vertAlign val="superscript"/>
        <sz val="10"/>
        <rFont val="Arial"/>
        <family val="2"/>
      </rPr>
      <t>9.6</t>
    </r>
    <r>
      <rPr>
        <sz val="10"/>
        <rFont val="Arial"/>
        <family val="2"/>
      </rPr>
      <t xml:space="preserve"> ] / 1.1065} + 1,796,436,000 / (1.1065)</t>
    </r>
    <r>
      <rPr>
        <vertAlign val="superscript"/>
        <sz val="10"/>
        <rFont val="Arial"/>
        <family val="2"/>
      </rPr>
      <t>9.6</t>
    </r>
    <r>
      <rPr>
        <sz val="10"/>
        <rFont val="Arial"/>
        <family val="2"/>
      </rPr>
      <t xml:space="preserve"> = 60,298,095 + 679,951,810 = $740,249,905</t>
    </r>
  </si>
  <si>
    <t xml:space="preserve">              Expected Cost of Bankruptcy @30%</t>
  </si>
  <si>
    <t xml:space="preserve">              Expected Cost of Bankruptcy @35%</t>
  </si>
  <si>
    <t xml:space="preserve">     Adjusted Present Value of Firm</t>
  </si>
  <si>
    <t xml:space="preserve">              Expected Cost of Bankruptcy @40%</t>
  </si>
  <si>
    <t>Exhibit 16- 5 Present Value of McClatchey Company Using the Adjusted Present Value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</si>
</sst>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&quot;$&quot;#,##0.000"/>
  </numFmts>
  <fonts count="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G1"/>
    </sheetView>
  </sheetViews>
  <sheetFormatPr defaultColWidth="13.140625" defaultRowHeight="12.75"/>
  <cols>
    <col min="1" max="1" width="42.57421875" style="0" customWidth="1"/>
    <col min="2" max="2" width="17.7109375" style="3" customWidth="1"/>
    <col min="3" max="3" width="16.140625" style="0" customWidth="1"/>
    <col min="4" max="4" width="15.140625" style="0" customWidth="1"/>
    <col min="5" max="5" width="16.00390625" style="0" customWidth="1"/>
    <col min="6" max="7" width="15.140625" style="0" customWidth="1"/>
  </cols>
  <sheetData>
    <row r="1" spans="1:7" ht="12.75">
      <c r="A1" s="17" t="s">
        <v>61</v>
      </c>
      <c r="B1" s="17"/>
      <c r="C1" s="17"/>
      <c r="D1" s="17"/>
      <c r="E1" s="17"/>
      <c r="F1" s="17"/>
      <c r="G1" s="17"/>
    </row>
    <row r="2" spans="1:7" ht="12.75">
      <c r="A2" s="7"/>
      <c r="B2" s="8">
        <v>2010</v>
      </c>
      <c r="C2" s="7">
        <v>2011</v>
      </c>
      <c r="D2" s="7">
        <v>2012</v>
      </c>
      <c r="E2" s="7">
        <v>2013</v>
      </c>
      <c r="F2" s="7">
        <v>2014</v>
      </c>
      <c r="G2" s="7">
        <v>2015</v>
      </c>
    </row>
    <row r="3" spans="1:7" ht="12.75">
      <c r="A3" s="9" t="s">
        <v>23</v>
      </c>
      <c r="G3" s="3"/>
    </row>
    <row r="4" spans="1:7" ht="14.25">
      <c r="A4" t="s">
        <v>18</v>
      </c>
      <c r="B4" s="3">
        <v>1.1344</v>
      </c>
      <c r="G4" s="3"/>
    </row>
    <row r="5" spans="1:7" ht="12.75">
      <c r="A5" t="s">
        <v>9</v>
      </c>
      <c r="B5" s="3">
        <v>3.65</v>
      </c>
      <c r="G5" s="3"/>
    </row>
    <row r="6" spans="1:7" ht="14.25">
      <c r="A6" t="s">
        <v>21</v>
      </c>
      <c r="B6" s="3">
        <v>0.4212</v>
      </c>
      <c r="G6" s="3"/>
    </row>
    <row r="7" spans="1:7" ht="12.75">
      <c r="A7" t="s">
        <v>8</v>
      </c>
      <c r="B7" s="3">
        <v>0.055</v>
      </c>
      <c r="G7" s="3"/>
    </row>
    <row r="8" spans="1:7" ht="12.75">
      <c r="A8" s="9" t="s">
        <v>5</v>
      </c>
      <c r="G8" s="3"/>
    </row>
    <row r="9" spans="1:7" ht="12.75">
      <c r="A9" t="s">
        <v>7</v>
      </c>
      <c r="B9" s="5">
        <v>5.19</v>
      </c>
      <c r="G9" s="3"/>
    </row>
    <row r="10" spans="1:7" ht="12.75">
      <c r="A10" t="s">
        <v>6</v>
      </c>
      <c r="B10" s="10">
        <v>84470000</v>
      </c>
      <c r="G10" s="3"/>
    </row>
    <row r="11" spans="1:7" ht="12.75">
      <c r="A11" t="s">
        <v>27</v>
      </c>
      <c r="B11" s="4">
        <f>B9*B10</f>
        <v>438399300.00000006</v>
      </c>
      <c r="C11" s="2">
        <f>4*C26+B11</f>
        <v>650896029.6</v>
      </c>
      <c r="D11" s="2">
        <f>4*D26+C11</f>
        <v>854892890.016</v>
      </c>
      <c r="E11" s="2">
        <f>4*E26+D11</f>
        <v>1054809813.22368</v>
      </c>
      <c r="F11" s="2">
        <f>5*F26+E11</f>
        <v>1307204928.773376</v>
      </c>
      <c r="G11" s="2">
        <f>6*G26+F11</f>
        <v>1616136550.206204</v>
      </c>
    </row>
    <row r="12" spans="1:7" ht="14.25">
      <c r="A12" t="s">
        <v>31</v>
      </c>
      <c r="B12" s="4">
        <v>740249905</v>
      </c>
      <c r="C12" s="2">
        <f>B12-C30</f>
        <v>666224914.5</v>
      </c>
      <c r="D12" s="2">
        <f>C12-D30</f>
        <v>599602423.05</v>
      </c>
      <c r="E12" s="2">
        <f>D12-E30</f>
        <v>539642180.745</v>
      </c>
      <c r="F12" s="2">
        <f>E12-F30</f>
        <v>485677962.6705</v>
      </c>
      <c r="G12" s="2">
        <f>F12-G30</f>
        <v>437110166.40345</v>
      </c>
    </row>
    <row r="13" spans="1:7" ht="12.75">
      <c r="A13" t="s">
        <v>28</v>
      </c>
      <c r="B13" s="5">
        <f aca="true" t="shared" si="0" ref="B13:G13">B12/B11</f>
        <v>1.688528939256974</v>
      </c>
      <c r="C13" s="11">
        <f t="shared" si="0"/>
        <v>1.0235504354042844</v>
      </c>
      <c r="D13" s="11">
        <f t="shared" si="0"/>
        <v>0.7013772486033635</v>
      </c>
      <c r="E13" s="11">
        <f t="shared" si="0"/>
        <v>0.5116014033807297</v>
      </c>
      <c r="F13" s="11">
        <f t="shared" si="0"/>
        <v>0.37153926823565375</v>
      </c>
      <c r="G13" s="11">
        <f t="shared" si="0"/>
        <v>0.27046611027247597</v>
      </c>
    </row>
    <row r="14" spans="1:7" ht="12.75">
      <c r="A14" t="s">
        <v>29</v>
      </c>
      <c r="B14" s="3" t="s">
        <v>2</v>
      </c>
      <c r="G14" s="3"/>
    </row>
    <row r="15" spans="1:7" ht="12.75">
      <c r="A15" t="s">
        <v>17</v>
      </c>
      <c r="B15" s="3" t="s">
        <v>0</v>
      </c>
      <c r="G15" s="3" t="s">
        <v>3</v>
      </c>
    </row>
    <row r="16" spans="1:7" ht="12.75">
      <c r="A16" s="9" t="s">
        <v>24</v>
      </c>
      <c r="B16" s="5"/>
      <c r="G16" s="3"/>
    </row>
    <row r="17" spans="1:7" ht="12.75">
      <c r="A17" s="12" t="s">
        <v>46</v>
      </c>
      <c r="B17" s="13">
        <v>6</v>
      </c>
      <c r="C17" s="11">
        <v>4</v>
      </c>
      <c r="D17" s="11">
        <v>4</v>
      </c>
      <c r="E17" s="11">
        <v>4</v>
      </c>
      <c r="F17" s="11">
        <v>5</v>
      </c>
      <c r="G17" s="13">
        <v>6</v>
      </c>
    </row>
    <row r="18" spans="1:7" ht="12.75">
      <c r="A18" t="s">
        <v>43</v>
      </c>
      <c r="B18" s="5">
        <v>0.33</v>
      </c>
      <c r="G18" s="3"/>
    </row>
    <row r="19" spans="1:7" ht="14.25">
      <c r="A19" t="s">
        <v>47</v>
      </c>
      <c r="B19" s="5">
        <v>0.25</v>
      </c>
      <c r="G19" s="3"/>
    </row>
    <row r="20" spans="1:7" ht="14.25">
      <c r="A20" t="s">
        <v>50</v>
      </c>
      <c r="B20" s="3">
        <v>10.65</v>
      </c>
      <c r="G20" s="3">
        <v>0.08</v>
      </c>
    </row>
    <row r="21" spans="1:7" ht="12.75">
      <c r="A21" t="s">
        <v>44</v>
      </c>
      <c r="B21" s="3" t="s">
        <v>4</v>
      </c>
      <c r="G21" s="3"/>
    </row>
    <row r="22" spans="1:7" ht="12.75">
      <c r="A22" t="s">
        <v>45</v>
      </c>
      <c r="B22" s="3">
        <v>0.03</v>
      </c>
      <c r="G22" s="3"/>
    </row>
    <row r="23" spans="1:7" ht="14.25">
      <c r="A23" t="s">
        <v>51</v>
      </c>
      <c r="B23" s="3">
        <v>0.0989</v>
      </c>
      <c r="G23" s="3"/>
    </row>
    <row r="24" spans="1:7" ht="14.25">
      <c r="A24" t="s">
        <v>52</v>
      </c>
      <c r="B24" s="3">
        <v>0.0862</v>
      </c>
      <c r="G24" s="3"/>
    </row>
    <row r="25" spans="1:7" ht="12.75">
      <c r="A25" t="s">
        <v>33</v>
      </c>
      <c r="B25" s="4">
        <v>1471584000</v>
      </c>
      <c r="C25" s="4">
        <f>0.95*B25</f>
        <v>1398004800</v>
      </c>
      <c r="D25" s="4">
        <f>0.96*C25</f>
        <v>1342084608</v>
      </c>
      <c r="E25" s="2">
        <f>0.98*D25</f>
        <v>1315242915.84</v>
      </c>
      <c r="F25" s="2">
        <f>1.01*E25</f>
        <v>1328395344.9984</v>
      </c>
      <c r="G25" s="4">
        <f>1.02*F25</f>
        <v>1354963251.898368</v>
      </c>
    </row>
    <row r="26" spans="1:7" ht="12.75">
      <c r="A26" t="s">
        <v>39</v>
      </c>
      <c r="B26" s="4">
        <v>54090000</v>
      </c>
      <c r="C26" s="2">
        <f>0.038*C25</f>
        <v>53124182.4</v>
      </c>
      <c r="D26" s="2">
        <f>0.038*D25</f>
        <v>50999215.104</v>
      </c>
      <c r="E26" s="2">
        <f>0.038*E25</f>
        <v>49979230.80192</v>
      </c>
      <c r="F26" s="2">
        <f>0.038*F25</f>
        <v>50479023.109939195</v>
      </c>
      <c r="G26" s="2">
        <f>0.038*G25</f>
        <v>51488603.57213798</v>
      </c>
    </row>
    <row r="27" spans="1:7" ht="12.75">
      <c r="A27" t="s">
        <v>40</v>
      </c>
      <c r="B27" s="4">
        <v>142889000</v>
      </c>
      <c r="C27" s="2">
        <f>0.08*C25</f>
        <v>111840384</v>
      </c>
      <c r="D27" s="2">
        <f>0.08*D25</f>
        <v>107366768.64</v>
      </c>
      <c r="E27" s="2">
        <f>0.08*E25</f>
        <v>105219433.2672</v>
      </c>
      <c r="F27" s="2">
        <f>0.08*F25</f>
        <v>106271627.599872</v>
      </c>
      <c r="G27" s="2">
        <f>0.08*G25</f>
        <v>108397060.15186943</v>
      </c>
    </row>
    <row r="28" spans="1:7" ht="12.75">
      <c r="A28" t="s">
        <v>41</v>
      </c>
      <c r="B28" s="4">
        <v>73579000</v>
      </c>
      <c r="C28" s="2">
        <f>0.035*C25</f>
        <v>48930168.00000001</v>
      </c>
      <c r="D28" s="2">
        <f>0.035*D25</f>
        <v>46972961.28</v>
      </c>
      <c r="E28" s="2">
        <f>0.035*E25</f>
        <v>46033502.054400004</v>
      </c>
      <c r="F28" s="2">
        <f>0.035*F25</f>
        <v>46493837.074944004</v>
      </c>
      <c r="G28" s="2">
        <f>0.04*G25</f>
        <v>54198530.075934716</v>
      </c>
    </row>
    <row r="29" spans="1:7" ht="12.75">
      <c r="A29" t="s">
        <v>34</v>
      </c>
      <c r="B29" s="4">
        <v>13574000</v>
      </c>
      <c r="C29" s="2">
        <f>0.01*C25</f>
        <v>13980048</v>
      </c>
      <c r="D29" s="2">
        <f>0.015*D25</f>
        <v>20131269.12</v>
      </c>
      <c r="E29" s="2">
        <f>0.02*E25</f>
        <v>26304858.3168</v>
      </c>
      <c r="F29" s="2">
        <f>0.025*F25</f>
        <v>33209883.62496</v>
      </c>
      <c r="G29" s="2">
        <f>0.025*G25</f>
        <v>33874081.2974592</v>
      </c>
    </row>
    <row r="30" spans="1:7" ht="12.75">
      <c r="A30" t="s">
        <v>35</v>
      </c>
      <c r="B30" s="4">
        <v>64200000</v>
      </c>
      <c r="C30" s="2">
        <f>0.1*B12</f>
        <v>74024990.5</v>
      </c>
      <c r="D30" s="2">
        <f>0.1*(B12-C30)</f>
        <v>66622491.45</v>
      </c>
      <c r="E30" s="2">
        <f>0.1*(B12-C30-D30)</f>
        <v>59960242.305</v>
      </c>
      <c r="F30" s="2">
        <f>0.1*(B12-C30-D30-E30)</f>
        <v>53964218.0745</v>
      </c>
      <c r="G30" s="2">
        <f>0.1*(B12-C30-D30-E30-F30)</f>
        <v>48567796.26705</v>
      </c>
    </row>
    <row r="31" spans="1:7" ht="12.75">
      <c r="A31" t="s">
        <v>36</v>
      </c>
      <c r="B31" s="4">
        <v>14905000</v>
      </c>
      <c r="C31" s="4">
        <v>10905000</v>
      </c>
      <c r="D31" s="4">
        <v>5905000</v>
      </c>
      <c r="E31" s="4">
        <v>5905000</v>
      </c>
      <c r="F31" s="4">
        <v>5905000</v>
      </c>
      <c r="G31" s="4">
        <v>5905000</v>
      </c>
    </row>
    <row r="32" spans="1:7" ht="12.75">
      <c r="A32" t="s">
        <v>37</v>
      </c>
      <c r="B32" s="4">
        <f aca="true" t="shared" si="1" ref="B32:G32">B26+B27-B28-B29-B30-B31</f>
        <v>30721000</v>
      </c>
      <c r="C32" s="4">
        <f t="shared" si="1"/>
        <v>17124359.900000006</v>
      </c>
      <c r="D32" s="4">
        <f t="shared" si="1"/>
        <v>18734261.89400001</v>
      </c>
      <c r="E32" s="4">
        <f t="shared" si="1"/>
        <v>16995061.392919995</v>
      </c>
      <c r="F32" s="4">
        <f t="shared" si="1"/>
        <v>17177711.93540717</v>
      </c>
      <c r="G32" s="4">
        <f t="shared" si="1"/>
        <v>17340256.08356352</v>
      </c>
    </row>
    <row r="33" spans="1:7" ht="12.75">
      <c r="A33" t="s">
        <v>38</v>
      </c>
      <c r="B33" s="4">
        <v>107353000</v>
      </c>
      <c r="C33" s="2">
        <f>B33*0.9</f>
        <v>96617700</v>
      </c>
      <c r="D33" s="2">
        <f>C33*0.9</f>
        <v>86955930</v>
      </c>
      <c r="E33" s="2">
        <f>D33*0.9</f>
        <v>78260337</v>
      </c>
      <c r="F33" s="2">
        <f>E33*0.9</f>
        <v>70434303.3</v>
      </c>
      <c r="G33" s="4">
        <f>F33*0.9</f>
        <v>63390872.97</v>
      </c>
    </row>
    <row r="34" spans="1:7" ht="12.75">
      <c r="A34" t="s">
        <v>42</v>
      </c>
      <c r="B34" s="4">
        <f aca="true" t="shared" si="2" ref="B34:G34">B33*0.4</f>
        <v>42941200</v>
      </c>
      <c r="C34" s="4">
        <f t="shared" si="2"/>
        <v>38647080</v>
      </c>
      <c r="D34" s="4">
        <f t="shared" si="2"/>
        <v>34782372</v>
      </c>
      <c r="E34" s="4">
        <f t="shared" si="2"/>
        <v>31304134.8</v>
      </c>
      <c r="F34" s="4">
        <f t="shared" si="2"/>
        <v>28173721.32</v>
      </c>
      <c r="G34" s="4">
        <f t="shared" si="2"/>
        <v>25356349.188</v>
      </c>
    </row>
    <row r="35" spans="1:7" ht="12.75">
      <c r="A35" s="9" t="s">
        <v>25</v>
      </c>
      <c r="B35" s="4"/>
      <c r="C35" s="2"/>
      <c r="D35" s="2"/>
      <c r="E35" s="2"/>
      <c r="F35" s="2"/>
      <c r="G35" s="4"/>
    </row>
    <row r="36" spans="1:7" ht="12.75">
      <c r="A36" t="s">
        <v>26</v>
      </c>
      <c r="B36" s="4">
        <f>NPV(9.89,19920376,21418437,19625553,19834508,20050187,26397426,54434000)</f>
        <v>2026597.9077728167</v>
      </c>
      <c r="C36" s="2"/>
      <c r="D36" s="2"/>
      <c r="E36" s="2"/>
      <c r="F36" s="2"/>
      <c r="G36" s="2"/>
    </row>
    <row r="37" spans="1:7" ht="12.75">
      <c r="A37" t="s">
        <v>10</v>
      </c>
      <c r="B37" s="4">
        <f>((G32*1.03)/(0.0862-0.03))/(1.0989)*5</f>
        <v>1445999846.9895349</v>
      </c>
      <c r="C37" s="2"/>
      <c r="D37" s="2"/>
      <c r="E37" s="2"/>
      <c r="F37" s="2"/>
      <c r="G37" s="2"/>
    </row>
    <row r="38" spans="1:7" ht="12.75">
      <c r="A38" t="s">
        <v>11</v>
      </c>
      <c r="B38" s="4">
        <f>B36+B37</f>
        <v>1448026444.8973076</v>
      </c>
      <c r="C38" s="2"/>
      <c r="D38" s="2"/>
      <c r="E38" s="2"/>
      <c r="F38" s="2"/>
      <c r="G38" s="2"/>
    </row>
    <row r="39" spans="1:7" ht="12.75">
      <c r="A39" t="s">
        <v>12</v>
      </c>
      <c r="B39" s="4">
        <f>NPV(9.89,38647080,34782372,31304135,28173721,2535349,7933803,8020075,10558970)</f>
        <v>3868417.9103085645</v>
      </c>
      <c r="C39" s="2"/>
      <c r="D39" s="2"/>
      <c r="E39" s="2"/>
      <c r="F39" s="2"/>
      <c r="G39" s="2"/>
    </row>
    <row r="40" spans="1:7" ht="12.75">
      <c r="A40" t="s">
        <v>59</v>
      </c>
      <c r="B40" s="4">
        <f>B38+B39</f>
        <v>1451894862.8076162</v>
      </c>
      <c r="C40" s="2"/>
      <c r="D40" s="2"/>
      <c r="E40" s="2"/>
      <c r="F40" s="2"/>
      <c r="G40" s="2"/>
    </row>
    <row r="41" spans="1:7" ht="12.75">
      <c r="A41" t="s">
        <v>13</v>
      </c>
      <c r="B41" s="4">
        <f>0.15*B40</f>
        <v>217784229.42114243</v>
      </c>
      <c r="C41" s="2"/>
      <c r="D41" s="2"/>
      <c r="E41" s="2"/>
      <c r="F41" s="2"/>
      <c r="G41" s="2"/>
    </row>
    <row r="42" spans="1:7" ht="12.75">
      <c r="A42" t="s">
        <v>19</v>
      </c>
      <c r="B42" s="4"/>
      <c r="C42" s="2">
        <f>0.2*B40</f>
        <v>290378972.56152326</v>
      </c>
      <c r="D42" s="2"/>
      <c r="E42" s="2"/>
      <c r="F42" s="2"/>
      <c r="G42" s="2"/>
    </row>
    <row r="43" spans="1:7" ht="12.75">
      <c r="A43" t="s">
        <v>20</v>
      </c>
      <c r="B43" s="4"/>
      <c r="C43" s="2"/>
      <c r="D43" s="2">
        <f>0.25*B40</f>
        <v>362973715.70190406</v>
      </c>
      <c r="E43" s="2"/>
      <c r="F43" s="2"/>
      <c r="G43" s="2"/>
    </row>
    <row r="44" spans="1:7" ht="12.75">
      <c r="A44" t="s">
        <v>57</v>
      </c>
      <c r="B44" s="4"/>
      <c r="C44" s="2"/>
      <c r="D44" s="2"/>
      <c r="E44" s="2">
        <f>0.3*B40</f>
        <v>435568458.84228486</v>
      </c>
      <c r="F44" s="2"/>
      <c r="G44" s="2"/>
    </row>
    <row r="45" spans="1:7" ht="12.75">
      <c r="A45" t="s">
        <v>58</v>
      </c>
      <c r="B45" s="4"/>
      <c r="C45" s="2"/>
      <c r="D45" s="2"/>
      <c r="E45" s="2"/>
      <c r="F45" s="2">
        <f>0.35*B40</f>
        <v>508163201.98266566</v>
      </c>
      <c r="G45" s="2"/>
    </row>
    <row r="46" spans="1:7" ht="12.75">
      <c r="A46" t="s">
        <v>60</v>
      </c>
      <c r="B46" s="4"/>
      <c r="C46" s="2"/>
      <c r="D46" s="2"/>
      <c r="E46" s="2"/>
      <c r="F46" s="2"/>
      <c r="G46" s="2">
        <f>0.4*B40</f>
        <v>580757945.1230465</v>
      </c>
    </row>
    <row r="47" spans="1:7" ht="12.75">
      <c r="A47" t="s">
        <v>14</v>
      </c>
      <c r="B47" s="2">
        <v>740249837</v>
      </c>
      <c r="C47" s="2">
        <v>740249837</v>
      </c>
      <c r="D47" s="2">
        <v>740249837</v>
      </c>
      <c r="E47" s="2">
        <v>740249837</v>
      </c>
      <c r="F47" s="2">
        <v>740249837</v>
      </c>
      <c r="G47" s="2">
        <v>740249837</v>
      </c>
    </row>
    <row r="48" spans="1:7" ht="12.75">
      <c r="A48" t="s">
        <v>15</v>
      </c>
      <c r="B48" s="4">
        <f>B40-B41-B47</f>
        <v>493860796.3864739</v>
      </c>
      <c r="C48" s="2">
        <f>B40-C42-C47</f>
        <v>421266053.24609303</v>
      </c>
      <c r="D48" s="2">
        <f>B40-D43-D47</f>
        <v>348671310.1057122</v>
      </c>
      <c r="E48" s="2">
        <f>B40-E44-E47</f>
        <v>276076566.9653313</v>
      </c>
      <c r="F48" s="2">
        <f>B40-F45-F47</f>
        <v>203481823.82495058</v>
      </c>
      <c r="G48" s="2">
        <f>B40-G46-G47</f>
        <v>130887080.68456972</v>
      </c>
    </row>
    <row r="49" spans="1:7" ht="12.75">
      <c r="A49" t="s">
        <v>16</v>
      </c>
      <c r="B49" s="6">
        <f>B48/B10</f>
        <v>5.846582175760316</v>
      </c>
      <c r="C49" s="1">
        <f>C48/B10</f>
        <v>4.987167671908288</v>
      </c>
      <c r="D49" s="1">
        <f>D48/B10</f>
        <v>4.127753168056259</v>
      </c>
      <c r="E49" s="14">
        <f>E48/B10</f>
        <v>3.2683386642042302</v>
      </c>
      <c r="F49" s="14">
        <f>F48/B10</f>
        <v>2.408924160352203</v>
      </c>
      <c r="G49" s="14">
        <f>G48/B10</f>
        <v>1.5495096565001742</v>
      </c>
    </row>
    <row r="51" ht="12.75">
      <c r="A51" t="s">
        <v>1</v>
      </c>
    </row>
    <row r="52" spans="1:7" ht="14.25">
      <c r="A52" s="15" t="s">
        <v>53</v>
      </c>
      <c r="B52" s="16"/>
      <c r="C52" s="16"/>
      <c r="D52" s="16"/>
      <c r="E52" s="16"/>
      <c r="F52" s="16"/>
      <c r="G52" s="16"/>
    </row>
    <row r="53" spans="1:7" ht="12.75">
      <c r="A53" s="16" t="s">
        <v>32</v>
      </c>
      <c r="B53" s="16"/>
      <c r="C53" s="16"/>
      <c r="D53" s="16"/>
      <c r="E53" s="16"/>
      <c r="F53" s="16"/>
      <c r="G53" s="16"/>
    </row>
    <row r="54" spans="1:7" ht="14.25">
      <c r="A54" s="15" t="s">
        <v>22</v>
      </c>
      <c r="B54" s="16"/>
      <c r="C54" s="16"/>
      <c r="D54" s="16"/>
      <c r="E54" s="16"/>
      <c r="F54" s="16"/>
      <c r="G54" s="16"/>
    </row>
    <row r="55" spans="1:7" ht="14.25">
      <c r="A55" s="15" t="s">
        <v>30</v>
      </c>
      <c r="B55" s="16"/>
      <c r="C55" s="16"/>
      <c r="D55" s="16"/>
      <c r="E55" s="16"/>
      <c r="F55" s="16"/>
      <c r="G55" s="16"/>
    </row>
    <row r="56" spans="1:7" ht="14.25">
      <c r="A56" s="18" t="s">
        <v>56</v>
      </c>
      <c r="B56" s="16"/>
      <c r="C56" s="16"/>
      <c r="D56" s="16"/>
      <c r="E56" s="16"/>
      <c r="F56" s="16"/>
      <c r="G56" s="16"/>
    </row>
    <row r="57" spans="1:7" ht="14.25">
      <c r="A57" s="19" t="s">
        <v>48</v>
      </c>
      <c r="B57" s="19"/>
      <c r="C57" s="19"/>
      <c r="D57" s="19"/>
      <c r="E57" s="19"/>
      <c r="F57" s="19"/>
      <c r="G57" s="19"/>
    </row>
    <row r="58" spans="1:7" ht="14.25">
      <c r="A58" s="15" t="s">
        <v>49</v>
      </c>
      <c r="B58" s="16"/>
      <c r="C58" s="16"/>
      <c r="D58" s="16"/>
      <c r="E58" s="16"/>
      <c r="F58" s="16"/>
      <c r="G58" s="16"/>
    </row>
    <row r="59" spans="1:7" ht="14.25">
      <c r="A59" s="15" t="s">
        <v>54</v>
      </c>
      <c r="B59" s="16"/>
      <c r="C59" s="16"/>
      <c r="D59" s="16"/>
      <c r="E59" s="16"/>
      <c r="F59" s="16"/>
      <c r="G59" s="16"/>
    </row>
    <row r="60" spans="1:7" ht="14.25">
      <c r="A60" s="15" t="s">
        <v>55</v>
      </c>
      <c r="B60" s="16"/>
      <c r="C60" s="16"/>
      <c r="D60" s="16"/>
      <c r="E60" s="16"/>
      <c r="F60" s="16"/>
      <c r="G60" s="16"/>
    </row>
  </sheetData>
  <mergeCells count="10">
    <mergeCell ref="A58:G58"/>
    <mergeCell ref="A1:G1"/>
    <mergeCell ref="A60:G60"/>
    <mergeCell ref="A52:G52"/>
    <mergeCell ref="A53:G53"/>
    <mergeCell ref="A54:G54"/>
    <mergeCell ref="A55:G55"/>
    <mergeCell ref="A56:G56"/>
    <mergeCell ref="A59:G59"/>
    <mergeCell ref="A57:G5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Marymount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ddepamph</dc:creator>
  <cp:keywords/>
  <dc:description/>
  <cp:lastModifiedBy> </cp:lastModifiedBy>
  <dcterms:created xsi:type="dcterms:W3CDTF">2010-03-08T20:51:55Z</dcterms:created>
  <dcterms:modified xsi:type="dcterms:W3CDTF">2010-04-09T14:43:03Z</dcterms:modified>
  <cp:category/>
  <cp:version/>
  <cp:contentType/>
  <cp:contentStatus/>
</cp:coreProperties>
</file>