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8_0.bin" ContentType="application/vnd.openxmlformats-officedocument.oleObject"/>
  <Override PartName="/xl/embeddings/oleObject_1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45" yWindow="65521" windowWidth="9405" windowHeight="8385" activeTab="0"/>
  </bookViews>
  <sheets>
    <sheet name="Home" sheetId="1" r:id="rId1"/>
    <sheet name="Shortcut" sheetId="2" r:id="rId2"/>
    <sheet name="NRe Example" sheetId="3" r:id="rId3"/>
    <sheet name="Friction Factor Example" sheetId="4" r:id="rId4"/>
    <sheet name="DP Example" sheetId="5" r:id="rId5"/>
    <sheet name="Flow Example" sheetId="6" r:id="rId6"/>
    <sheet name="K-Values" sheetId="7" r:id="rId7"/>
    <sheet name="Orifice" sheetId="8" r:id="rId8"/>
    <sheet name="2-Phase Homogenious" sheetId="9" r:id="rId9"/>
    <sheet name="2-Phase Split" sheetId="10" r:id="rId10"/>
    <sheet name="2-Phase Asymptotic" sheetId="11" r:id="rId11"/>
    <sheet name="2-Phase Lock" sheetId="12" r:id="rId12"/>
    <sheet name="2-Phase PD Elbow" sheetId="13" r:id="rId13"/>
    <sheet name="Panhandle" sheetId="14" r:id="rId14"/>
    <sheet name="Properties" sheetId="15" state="hidden" r:id="rId15"/>
  </sheets>
  <definedNames>
    <definedName name="Avg" localSheetId="10">'2-Phase Asymptotic'!$D$37</definedName>
    <definedName name="Avg" localSheetId="11">'2-Phase Lock'!$D$37</definedName>
    <definedName name="Avg">'2-Phase Split'!$D$37</definedName>
    <definedName name="bar" localSheetId="12">'2-Phase PD Elbow'!$D$9</definedName>
    <definedName name="bar">'2-Phase Homogenious'!$D$9</definedName>
    <definedName name="BarHeightPercent">#REF!</definedName>
    <definedName name="CCAsymptotic">'2-Phase Asymptotic'!$H$38</definedName>
    <definedName name="CCCriticalVelocity">'2-Phase Split'!$I$25</definedName>
    <definedName name="CCHomogenious">'2-Phase Homogenious'!$H$36</definedName>
    <definedName name="CCLockhart">'2-Phase Lock'!$H$37</definedName>
    <definedName name="CCResults">'2-Phase Lock'!$L$44:$Q$114</definedName>
    <definedName name="CCSplit">'2-Phase Split'!$H$36</definedName>
    <definedName name="CCVelocity">'2-Phase Split'!$I$24</definedName>
    <definedName name="CCWallis">'2-Phase Lock'!$L$37</definedName>
    <definedName name="Color_Chart">#REF!</definedName>
    <definedName name="ComparisonCase">'2-Phase Lock'!$H$6</definedName>
    <definedName name="comparisons">'2-Phase Lock'!$J$43</definedName>
    <definedName name="Day1">#REF!</definedName>
    <definedName name="diameter" localSheetId="12">'2-Phase PD Elbow'!$D$10</definedName>
    <definedName name="diameter">'2-Phase Homogenious'!$D$10</definedName>
    <definedName name="Doc_Clr">#REF!</definedName>
    <definedName name="Doc_Start">#REF!</definedName>
    <definedName name="EqK1">'K-Values'!$D$50</definedName>
    <definedName name="EqK2">'K-Values'!$D$47</definedName>
    <definedName name="Exec_Clr">#REF!</definedName>
    <definedName name="Exec_Start">#REF!</definedName>
    <definedName name="ExportArea">#REF!</definedName>
    <definedName name="Fig3" localSheetId="10">'2-Phase Asymptotic'!$M$41</definedName>
    <definedName name="Fig3" localSheetId="11">'2-Phase Lock'!$M$41</definedName>
    <definedName name="Fig3">'2-Phase Split'!$M$41</definedName>
    <definedName name="flux" localSheetId="12">'2-Phase PD Elbow'!$D$7</definedName>
    <definedName name="flux">'2-Phase Homogenious'!$D$7</definedName>
    <definedName name="Flux2" localSheetId="10">'2-Phase Asymptotic'!$D$7</definedName>
    <definedName name="Flux2" localSheetId="11">'2-Phase Lock'!$D$7</definedName>
    <definedName name="Flux2">'2-Phase Split'!$D$7</definedName>
    <definedName name="increment_first">#REF!</definedName>
    <definedName name="increment_format">#REF!</definedName>
    <definedName name="increment_heading">#REF!</definedName>
    <definedName name="increment_label">#REF!</definedName>
    <definedName name="Increment_old">#REF!</definedName>
    <definedName name="increment_value">#REF!</definedName>
    <definedName name="InputData">#REF!</definedName>
    <definedName name="K0">'K-Values'!$D$39</definedName>
    <definedName name="Key">#REF!</definedName>
    <definedName name="KTest">'K-Values'!$G$35</definedName>
    <definedName name="LB" localSheetId="10">'2-Phase Asymptotic'!$D$33</definedName>
    <definedName name="LB" localSheetId="11">'2-Phase Lock'!$D$33</definedName>
    <definedName name="LB">'2-Phase Split'!$D$33</definedName>
    <definedName name="phi_squared" localSheetId="12">'2-Phase PD Elbow'!$D$34</definedName>
    <definedName name="phi_squared">'2-Phase Homogenious'!$D$34</definedName>
    <definedName name="Props" localSheetId="12">'2-Phase PD Elbow'!$B$128:$Q$132</definedName>
    <definedName name="props">'2-Phase Homogenious'!$B$169:$R$173</definedName>
    <definedName name="quality" localSheetId="12">'2-Phase PD Elbow'!$D$8</definedName>
    <definedName name="quality">'2-Phase Homogenious'!$D$8</definedName>
    <definedName name="Report_Start">#REF!</definedName>
    <definedName name="Start" localSheetId="12">'2-Phase PD Elbow'!#REF!</definedName>
    <definedName name="Start">'2-Phase Homogenious'!$K$43</definedName>
    <definedName name="StartFig7" localSheetId="12">'2-Phase PD Elbow'!$K$86</definedName>
    <definedName name="StartFig7">'2-Phase Homogenious'!$K$127</definedName>
    <definedName name="startflux" localSheetId="12">'2-Phase PD Elbow'!$B$49</definedName>
    <definedName name="startflux">'2-Phase Homogenious'!$K$90</definedName>
    <definedName name="step">#REF!</definedName>
    <definedName name="steplast">#REF!</definedName>
    <definedName name="UB" localSheetId="10">'2-Phase Asymptotic'!#REF!</definedName>
    <definedName name="UB" localSheetId="11">'2-Phase Lock'!$D$34</definedName>
    <definedName name="UB">'2-Phase Split'!$D$34</definedName>
  </definedNames>
  <calcPr fullCalcOnLoad="1"/>
</workbook>
</file>

<file path=xl/comments8.xml><?xml version="1.0" encoding="utf-8"?>
<comments xmlns="http://schemas.openxmlformats.org/spreadsheetml/2006/main">
  <authors>
    <author>SMH</author>
  </authors>
  <commentList>
    <comment ref="D31" authorId="0">
      <text>
        <r>
          <rPr>
            <sz val="8"/>
            <rFont val="Tahoma"/>
            <family val="2"/>
          </rPr>
          <t>Stolz equation, Radius Taps</t>
        </r>
      </text>
    </comment>
  </commentList>
</comments>
</file>

<file path=xl/sharedStrings.xml><?xml version="1.0" encoding="utf-8"?>
<sst xmlns="http://schemas.openxmlformats.org/spreadsheetml/2006/main" count="899" uniqueCount="268">
  <si>
    <t>Pipe Diameter</t>
  </si>
  <si>
    <t>Temperature</t>
  </si>
  <si>
    <t>psia</t>
  </si>
  <si>
    <t>Flow Rate</t>
  </si>
  <si>
    <t>Cp/Cv</t>
  </si>
  <si>
    <t>Density</t>
  </si>
  <si>
    <t>lb/ft3</t>
  </si>
  <si>
    <t>Inputs</t>
  </si>
  <si>
    <t>lb/h</t>
  </si>
  <si>
    <t>mm</t>
  </si>
  <si>
    <t>m</t>
  </si>
  <si>
    <t>kg/m3</t>
  </si>
  <si>
    <t>m/s</t>
  </si>
  <si>
    <t>kg/h</t>
  </si>
  <si>
    <t>kPa</t>
  </si>
  <si>
    <t>Output</t>
  </si>
  <si>
    <t>Viscosity</t>
  </si>
  <si>
    <t>cP</t>
  </si>
  <si>
    <t>Pipe Roughness</t>
  </si>
  <si>
    <t>Darcy Friction Factor</t>
  </si>
  <si>
    <t>US Units</t>
  </si>
  <si>
    <t>SI Units</t>
  </si>
  <si>
    <t>mPa-s</t>
  </si>
  <si>
    <t>Mass Flow Rate</t>
  </si>
  <si>
    <t>Molecular Weight</t>
  </si>
  <si>
    <t>Pressure</t>
  </si>
  <si>
    <t>C</t>
  </si>
  <si>
    <t>kg/kgmol</t>
  </si>
  <si>
    <t>kPa, absolute</t>
  </si>
  <si>
    <t>Parameter</t>
  </si>
  <si>
    <t>Units</t>
  </si>
  <si>
    <t>Example 1</t>
  </si>
  <si>
    <t>Example 2</t>
  </si>
  <si>
    <t>Reynolds Number</t>
  </si>
  <si>
    <t>dimensionless</t>
  </si>
  <si>
    <t>Example 3</t>
  </si>
  <si>
    <t>Example 4</t>
  </si>
  <si>
    <t>Pressure in (upsteam)</t>
  </si>
  <si>
    <t>Pressure out (downstream)</t>
  </si>
  <si>
    <t>Equivalent Length of Pipe</t>
  </si>
  <si>
    <t>Mass Flow, given Pressure in and out</t>
  </si>
  <si>
    <t>Pressure Out, given Mass Flow and Pressure in</t>
  </si>
  <si>
    <t>Example 5</t>
  </si>
  <si>
    <t>GUESS Mass Flow Rate</t>
  </si>
  <si>
    <t>Difference between GUESS and calculated rate, E8-E26</t>
  </si>
  <si>
    <t>US Customary Units</t>
  </si>
  <si>
    <t>Example 1a</t>
  </si>
  <si>
    <t>Example 2a</t>
  </si>
  <si>
    <t>in</t>
  </si>
  <si>
    <t>F</t>
  </si>
  <si>
    <t>lb/lbmol</t>
  </si>
  <si>
    <t>Example 3a</t>
  </si>
  <si>
    <t>ft</t>
  </si>
  <si>
    <t>Example 4a</t>
  </si>
  <si>
    <t>Example 5a</t>
  </si>
  <si>
    <t>Example 6</t>
  </si>
  <si>
    <t>P0</t>
  </si>
  <si>
    <t>P1</t>
  </si>
  <si>
    <t>P2</t>
  </si>
  <si>
    <t>P3</t>
  </si>
  <si>
    <t>Orifice discharge pressure</t>
  </si>
  <si>
    <t>Permanent Loss</t>
  </si>
  <si>
    <t>Orifice Diameter</t>
  </si>
  <si>
    <t>V1</t>
  </si>
  <si>
    <t>Orifice Coefficient of Discharge</t>
  </si>
  <si>
    <t>β</t>
  </si>
  <si>
    <t>Orifice diameter ratio</t>
  </si>
  <si>
    <t>Delta P</t>
  </si>
  <si>
    <t>psi/100 ft</t>
  </si>
  <si>
    <t>Bar/100 m</t>
  </si>
  <si>
    <t>Y</t>
  </si>
  <si>
    <t>Expansion factor</t>
  </si>
  <si>
    <t>DeltaP</t>
  </si>
  <si>
    <t>P1-P3</t>
  </si>
  <si>
    <t>Sonic velocity</t>
  </si>
  <si>
    <t>Inlet Pressure</t>
  </si>
  <si>
    <t>Chapter 1: Fluid Flow</t>
  </si>
  <si>
    <t>by Stephen Hall</t>
  </si>
  <si>
    <t>This Excel workbook includes Visual Basic for Application function subroutines.</t>
  </si>
  <si>
    <t>Macros must be enabled for them to work.</t>
  </si>
  <si>
    <t>The following Text Boxes contain the syntax for the functions.</t>
  </si>
  <si>
    <t>Copy them to the worksheet where you want to use the functions for ready reference.</t>
  </si>
  <si>
    <t>Function Subroutines in SI Units</t>
  </si>
  <si>
    <t>Function Subroutines in US Units</t>
  </si>
  <si>
    <t>Liquid</t>
  </si>
  <si>
    <t>Gas</t>
  </si>
  <si>
    <t>Velocity through orifice</t>
  </si>
  <si>
    <t>K flow coefficient</t>
  </si>
  <si>
    <t>Equivalent Length</t>
  </si>
  <si>
    <t>Compare equivalent length ratio to pressure drop ratio</t>
  </si>
  <si>
    <t>Pipe L / Orifice L</t>
  </si>
  <si>
    <t>Pipe Pressure Drop / Orifice Pressure Drop</t>
  </si>
  <si>
    <t>b</t>
  </si>
  <si>
    <t>Total Mass Flow Rate</t>
  </si>
  <si>
    <t>Quality</t>
  </si>
  <si>
    <t>Pressure Drop, given Mass Flow and Pressure in</t>
  </si>
  <si>
    <t>Steam-Water at Saturated Conditions</t>
  </si>
  <si>
    <t>IPC2004-721</t>
  </si>
  <si>
    <t>R12</t>
  </si>
  <si>
    <t>A</t>
  </si>
  <si>
    <t>B</t>
  </si>
  <si>
    <t>m2</t>
  </si>
  <si>
    <t>Property Correlations</t>
  </si>
  <si>
    <t>for all correlations, t = deg C</t>
  </si>
  <si>
    <t>Vapor Pressure: log(mm Hg) = A - B / (t+C)</t>
  </si>
  <si>
    <t>Density: kg/m3 = m t + b</t>
  </si>
  <si>
    <t>Density: lb/ft3 = m t + b</t>
  </si>
  <si>
    <t>Water</t>
  </si>
  <si>
    <t>R22</t>
  </si>
  <si>
    <t>Mass Fraction Vapor</t>
  </si>
  <si>
    <t>Total Mass Flux</t>
  </si>
  <si>
    <t>kg/m2-s</t>
  </si>
  <si>
    <t>Total as Liq</t>
  </si>
  <si>
    <t>Vapor Props</t>
  </si>
  <si>
    <t>Mixture</t>
  </si>
  <si>
    <t>Calculations / Property Lookup</t>
  </si>
  <si>
    <t>Cross-sectional area</t>
  </si>
  <si>
    <t>Vapor Viscosity: ln(cP) = A + B / (C+t)</t>
  </si>
  <si>
    <t>Liquid Viscosity: ln(cP) = A + B / (C+t)</t>
  </si>
  <si>
    <t>Molecular</t>
  </si>
  <si>
    <t>Weight</t>
  </si>
  <si>
    <t>Temp, C</t>
  </si>
  <si>
    <t>Visc, cP</t>
  </si>
  <si>
    <t>Enter Viscosity at 3 Temperatures</t>
  </si>
  <si>
    <t>Coefficients: Viscosity: ln(cP) = A + B / (C+t)</t>
  </si>
  <si>
    <t>Vapor</t>
  </si>
  <si>
    <t>Enter Vapor Pressure at 3 Temperatures</t>
  </si>
  <si>
    <t>VP, mm Hg</t>
  </si>
  <si>
    <t>Coefficients: Vapor Pressure: log(mm Hg) = A - B / (t+C)</t>
  </si>
  <si>
    <t>Enter Density at 5 Temperatures</t>
  </si>
  <si>
    <t>Density, kg/m3</t>
  </si>
  <si>
    <t>Liquid PD Multiplier</t>
  </si>
  <si>
    <t>phi</t>
  </si>
  <si>
    <t>phi^2</t>
  </si>
  <si>
    <t>Pressure Drop, 2-Phase Flow</t>
  </si>
  <si>
    <t>kPA</t>
  </si>
  <si>
    <t>Bar</t>
  </si>
  <si>
    <t>Phi^2</t>
  </si>
  <si>
    <t>Reference:</t>
  </si>
  <si>
    <t>Mass Flux</t>
  </si>
  <si>
    <t>(Smooth Tube = 0.0000015 m)</t>
  </si>
  <si>
    <t>lb/ft-h</t>
  </si>
  <si>
    <t>Lower Bound</t>
  </si>
  <si>
    <t>Upper Bound</t>
  </si>
  <si>
    <t>Average</t>
  </si>
  <si>
    <t>Velocity, m/s</t>
  </si>
  <si>
    <t>Sonic Velocity</t>
  </si>
  <si>
    <t>YELLOW = &gt; Mach 0.3</t>
  </si>
  <si>
    <t>RED &gt; Mach 1</t>
  </si>
  <si>
    <t>= Pa</t>
  </si>
  <si>
    <t>IMECE2005-81493</t>
  </si>
  <si>
    <t>Lower</t>
  </si>
  <si>
    <t>Upper</t>
  </si>
  <si>
    <t>Sonic</t>
  </si>
  <si>
    <t>Lockhart and Martinelli Method</t>
  </si>
  <si>
    <t>X</t>
  </si>
  <si>
    <t>water</t>
  </si>
  <si>
    <t>Phi-liquid</t>
  </si>
  <si>
    <t>Total Pressure Drop, 2-phase</t>
  </si>
  <si>
    <t>Branan, Rules of Thumb, 4th Edition</t>
  </si>
  <si>
    <t>Branan: 0.49 psi/100 ft</t>
  </si>
  <si>
    <t>Rukan: 0.28 psi/100 ft</t>
  </si>
  <si>
    <t>Length of Pipe</t>
  </si>
  <si>
    <t>Fittings</t>
  </si>
  <si>
    <t>90 deg, welded r/D = 1</t>
  </si>
  <si>
    <t>TEE, through branch (as elbow)</t>
  </si>
  <si>
    <t>Plug valve, straight</t>
  </si>
  <si>
    <t>Swing check, Vmin = 35 ro^0.5</t>
  </si>
  <si>
    <t>(L/D)eq</t>
  </si>
  <si>
    <t>Km</t>
  </si>
  <si>
    <t>Ki</t>
  </si>
  <si>
    <t>Kd</t>
  </si>
  <si>
    <t>Quantity</t>
  </si>
  <si>
    <t>Equivalent length of fittings</t>
  </si>
  <si>
    <t>Pressure Drop, equiv length method</t>
  </si>
  <si>
    <t>Velocity</t>
  </si>
  <si>
    <t>Mass flux</t>
  </si>
  <si>
    <t>Ex 4</t>
  </si>
  <si>
    <t>Ex 5</t>
  </si>
  <si>
    <t>kg/m2</t>
  </si>
  <si>
    <t>Pressure Drop, 3-K method</t>
  </si>
  <si>
    <t>total Kf</t>
  </si>
  <si>
    <t>Fitting pressure loss</t>
  </si>
  <si>
    <t>Crane K</t>
  </si>
  <si>
    <t>3-K Method</t>
  </si>
  <si>
    <t>Crane</t>
  </si>
  <si>
    <t>Eq L</t>
  </si>
  <si>
    <t>Pressure Drop, Crane method</t>
  </si>
  <si>
    <t>Flow</t>
  </si>
  <si>
    <t>Regime</t>
  </si>
  <si>
    <t>Equiv L</t>
  </si>
  <si>
    <t>3-K</t>
  </si>
  <si>
    <t>Turbulent</t>
  </si>
  <si>
    <t>Pressure Drop, Pa</t>
  </si>
  <si>
    <t>Laminar</t>
  </si>
  <si>
    <t>Total L/D</t>
  </si>
  <si>
    <t>f, full turbulence</t>
  </si>
  <si>
    <t>90 Ell</t>
  </si>
  <si>
    <t>Branch tee</t>
  </si>
  <si>
    <t>Swing check</t>
  </si>
  <si>
    <t>Plug valve</t>
  </si>
  <si>
    <t>3 x 1 reducer</t>
  </si>
  <si>
    <t>Delta P, pipe</t>
  </si>
  <si>
    <t>Leq</t>
  </si>
  <si>
    <t>Delta P, comparison</t>
  </si>
  <si>
    <t>nominal size</t>
  </si>
  <si>
    <t>Pipe flow area</t>
  </si>
  <si>
    <t>K</t>
  </si>
  <si>
    <t>elbow</t>
  </si>
  <si>
    <t>Comparison Case</t>
  </si>
  <si>
    <t>Wallis</t>
  </si>
  <si>
    <t>Phi^2, lo</t>
  </si>
  <si>
    <t>Phi, lo</t>
  </si>
  <si>
    <t>IMECE2004-61410</t>
  </si>
  <si>
    <t>dp/dz</t>
  </si>
  <si>
    <t>kPa/m</t>
  </si>
  <si>
    <t>p</t>
  </si>
  <si>
    <t>Total pressure drop</t>
  </si>
  <si>
    <t>Velocity (assuming avg density)</t>
  </si>
  <si>
    <t>This method depends on fitting parameter, p</t>
  </si>
  <si>
    <t>Fitting parameter</t>
  </si>
  <si>
    <t>Critical Velocity</t>
  </si>
  <si>
    <t>Homog</t>
  </si>
  <si>
    <t>Split</t>
  </si>
  <si>
    <t>Asymp</t>
  </si>
  <si>
    <t>Lockhart</t>
  </si>
  <si>
    <t>Fluid</t>
  </si>
  <si>
    <t>Hashizume's Data</t>
  </si>
  <si>
    <t>Reference article, Figure 1</t>
  </si>
  <si>
    <t>Water-Air</t>
  </si>
  <si>
    <t>Pa/m</t>
  </si>
  <si>
    <t xml:space="preserve">ChemEng Software sells an Excel template called PIPESIZE. </t>
  </si>
  <si>
    <t>www.chemengsoftware.com</t>
  </si>
  <si>
    <t>PIPESIZE sizes pipes for gases and liquids. It includes a database of properties for piping materials, fluids, roughness values, and recommended velocities. Order on-line or by telephone, 24-h/d; credit cards accepted.</t>
  </si>
  <si>
    <t>Gas specific gravity</t>
  </si>
  <si>
    <t>Pipe diameter</t>
  </si>
  <si>
    <t>Pipe length</t>
  </si>
  <si>
    <t>Inlet pressure</t>
  </si>
  <si>
    <t>Outlet pressure</t>
  </si>
  <si>
    <t>Elevation difference</t>
  </si>
  <si>
    <t>Efficiency</t>
  </si>
  <si>
    <t>Constants</t>
  </si>
  <si>
    <t>Base temperature</t>
  </si>
  <si>
    <t>Base pressure</t>
  </si>
  <si>
    <t>Gas molecular weight</t>
  </si>
  <si>
    <t>Value</t>
  </si>
  <si>
    <t>miles</t>
  </si>
  <si>
    <t>Average compressibility factor</t>
  </si>
  <si>
    <t>km</t>
  </si>
  <si>
    <t>kPa abs</t>
  </si>
  <si>
    <t>Calculations</t>
  </si>
  <si>
    <t>Isothermal Gas Calculation</t>
  </si>
  <si>
    <t>Friction factor</t>
  </si>
  <si>
    <t>Pipe roughness</t>
  </si>
  <si>
    <t>Standard volumetric rate</t>
  </si>
  <si>
    <t>Weymouth</t>
  </si>
  <si>
    <t>MM ft3/day</t>
  </si>
  <si>
    <t>MM m3/day</t>
  </si>
  <si>
    <t>Intermediate Calcs</t>
  </si>
  <si>
    <t>Average pressure</t>
  </si>
  <si>
    <t>Head correction</t>
  </si>
  <si>
    <t>Average temperature</t>
  </si>
  <si>
    <t>R</t>
  </si>
  <si>
    <t>psi</t>
  </si>
  <si>
    <t>Panhandle A</t>
  </si>
  <si>
    <t>Panhandle B</t>
  </si>
  <si>
    <t>r</t>
  </si>
  <si>
    <t>Rules of Thumb for Chemical Engineers, 5th Edition</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</si>
</sst>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0_);_(* \(#,##0.000\);_(* &quot;-&quot;??_);_(@_)"/>
    <numFmt numFmtId="169" formatCode="_(* #,##0.0000_);_(* \(#,##0.0000\);_(* &quot;-&quot;??_);_(@_)"/>
    <numFmt numFmtId="170" formatCode="_(* #,##0.00000_);_(* \(#,##0.00000\);_(* &quot;-&quot;??_);_(@_)"/>
    <numFmt numFmtId="171" formatCode="_(* #,##0.000000_);_(* \(#,##0.000000\);_(* &quot;-&quot;??_);_(@_)"/>
    <numFmt numFmtId="172" formatCode="_(* #,##0.0000000_);_(* \(#,##0.0000000\);_(* &quot;-&quot;??_);_(@_)"/>
    <numFmt numFmtId="173" formatCode="_(* #,##0.0_);_(* \(#,##0.0\);_(* &quot;-&quot;??_);_(@_)"/>
    <numFmt numFmtId="174" formatCode="_(* #,##0_);_(* \(#,##0\);_(* &quot;-&quot;??_);_(@_)"/>
    <numFmt numFmtId="175" formatCode="0.0%"/>
    <numFmt numFmtId="176" formatCode="_(* #,##0.00000000_);_(* \(#,##0.00000000\);_(* &quot;-&quot;??_);_(@_)"/>
    <numFmt numFmtId="177" formatCode="_(* #,##0.0000_);_(* \(#,##0.0000\);_(* &quot;-&quot;????_);_(@_)"/>
    <numFmt numFmtId="178" formatCode="_(* #,##0.0_);_(* \(#,##0.0\);_(* &quot;-&quot;?_);_(@_)"/>
    <numFmt numFmtId="179" formatCode="&quot;$&quot;#,##0.0_);\(&quot;$&quot;#,##0.0\)"/>
    <numFmt numFmtId="180" formatCode="_(&quot;$&quot;* #,##0.0_);_(&quot;$&quot;* \(#,##0.0\);_(&quot;$&quot;* &quot;-&quot;??_);_(@_)"/>
    <numFmt numFmtId="181" formatCode="_(&quot;$&quot;* #,##0_);_(&quot;$&quot;* \(#,##0\);_(&quot;$&quot;* &quot;-&quot;??_);_(@_)"/>
    <numFmt numFmtId="182" formatCode="#,##0.00\ [$€-1]"/>
    <numFmt numFmtId="183" formatCode="#,##0.0\ [$€-1]"/>
    <numFmt numFmtId="184" formatCode="#,##0\ [$€-1]"/>
    <numFmt numFmtId="185" formatCode="[$-409]dddd\,\ mmmm\ dd\,\ yyyy"/>
    <numFmt numFmtId="186" formatCode="[$-409]d\-mmm;@"/>
    <numFmt numFmtId="187" formatCode="[$-409]mmm\-yy;@"/>
    <numFmt numFmtId="188" formatCode="mmm\-dd"/>
    <numFmt numFmtId="189" formatCode="mm\-dd"/>
    <numFmt numFmtId="190" formatCode="mmm"/>
    <numFmt numFmtId="191" formatCode="mmmm"/>
    <numFmt numFmtId="192" formatCode="#,###"/>
    <numFmt numFmtId="193" formatCode="#0"/>
    <numFmt numFmtId="194" formatCode="yyyy"/>
    <numFmt numFmtId="195" formatCode="dd\-mmm"/>
    <numFmt numFmtId="196" formatCode="_(* #,##0.000_);_(* \(#,##0.000\);_(* &quot;-&quot;???_);_(@_)"/>
    <numFmt numFmtId="197" formatCode="_(* #,##0.0000000_);_(* \(#,##0.0000000\);_(* &quot;-&quot;???????_);_(@_)"/>
    <numFmt numFmtId="198" formatCode="_(* #,##0.000000_);_(* \(#,##0.000000\);_(* &quot;-&quot;??????_);_(@_)"/>
    <numFmt numFmtId="199" formatCode="_(* #,##0.00000_);_(* \(#,##0.00000\);_(* &quot;-&quot;?????_);_(@_)"/>
    <numFmt numFmtId="200" formatCode="0.00000000"/>
    <numFmt numFmtId="201" formatCode="0.0000000"/>
    <numFmt numFmtId="202" formatCode="0.000000"/>
  </numFmts>
  <fonts count="65">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i/>
      <sz val="12"/>
      <name val="Times New Roman"/>
      <family val="1"/>
    </font>
    <font>
      <i/>
      <sz val="10"/>
      <name val="Arial"/>
      <family val="2"/>
    </font>
    <font>
      <sz val="8"/>
      <name val="Tahoma"/>
      <family val="2"/>
    </font>
    <font>
      <b/>
      <sz val="10"/>
      <color indexed="21"/>
      <name val="Arial"/>
      <family val="2"/>
    </font>
    <font>
      <b/>
      <sz val="10"/>
      <color indexed="17"/>
      <name val="Arial"/>
      <family val="2"/>
    </font>
    <font>
      <sz val="10"/>
      <color indexed="10"/>
      <name val="Arial"/>
      <family val="2"/>
    </font>
    <font>
      <sz val="10"/>
      <color indexed="12"/>
      <name val="Arial"/>
      <family val="2"/>
    </font>
    <font>
      <sz val="10"/>
      <color indexed="12"/>
      <name val="Geneva"/>
      <family val="0"/>
    </font>
    <font>
      <sz val="9"/>
      <color indexed="8"/>
      <name val="Verdana"/>
      <family val="2"/>
    </font>
    <font>
      <sz val="11"/>
      <name val="Arial"/>
      <family val="2"/>
    </font>
    <font>
      <sz val="10"/>
      <color indexed="8"/>
      <name val="Arial"/>
      <family val="2"/>
    </font>
    <font>
      <sz val="8"/>
      <color indexed="8"/>
      <name val="Arial"/>
      <family val="2"/>
    </font>
    <font>
      <sz val="7.35"/>
      <color indexed="8"/>
      <name val="Arial"/>
      <family val="2"/>
    </font>
    <font>
      <sz val="9.2"/>
      <color indexed="8"/>
      <name val="Arial"/>
      <family val="2"/>
    </font>
    <font>
      <sz val="19"/>
      <color indexed="8"/>
      <name val="Arial"/>
      <family val="2"/>
    </font>
    <font>
      <sz val="17.4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i/>
      <sz val="10"/>
      <color indexed="8"/>
      <name val="Arial"/>
      <family val="2"/>
    </font>
    <font>
      <b/>
      <sz val="8"/>
      <color indexed="8"/>
      <name val="Arial"/>
      <family val="2"/>
    </font>
    <font>
      <b/>
      <sz val="12"/>
      <color indexed="8"/>
      <name val="Arial"/>
      <family val="2"/>
    </font>
    <font>
      <b/>
      <sz val="19"/>
      <color indexed="8"/>
      <name val="Arial"/>
      <family val="2"/>
    </font>
    <font>
      <b/>
      <sz val="22.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rgb="FFCC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1">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Font="1" applyAlignment="1">
      <alignment/>
    </xf>
    <xf numFmtId="0" fontId="5" fillId="0" borderId="0" xfId="0" applyFont="1" applyAlignment="1">
      <alignment/>
    </xf>
    <xf numFmtId="0" fontId="6" fillId="0" borderId="0" xfId="0" applyFont="1" applyAlignment="1">
      <alignment/>
    </xf>
    <xf numFmtId="0" fontId="0" fillId="0" borderId="10" xfId="0" applyBorder="1" applyAlignment="1">
      <alignment/>
    </xf>
    <xf numFmtId="0" fontId="0" fillId="0" borderId="10" xfId="0" applyBorder="1" applyAlignment="1">
      <alignment horizontal="center"/>
    </xf>
    <xf numFmtId="173" fontId="0" fillId="0" borderId="0" xfId="42" applyNumberFormat="1" applyAlignment="1">
      <alignment/>
    </xf>
    <xf numFmtId="174" fontId="0" fillId="0" borderId="0" xfId="42" applyNumberFormat="1" applyAlignment="1">
      <alignment/>
    </xf>
    <xf numFmtId="172" fontId="0" fillId="0" borderId="0" xfId="42" applyNumberFormat="1" applyAlignment="1">
      <alignment/>
    </xf>
    <xf numFmtId="169" fontId="0" fillId="0" borderId="0" xfId="42" applyNumberFormat="1" applyFont="1" applyAlignment="1">
      <alignment/>
    </xf>
    <xf numFmtId="169" fontId="0" fillId="0" borderId="0" xfId="42" applyNumberFormat="1" applyAlignment="1">
      <alignment/>
    </xf>
    <xf numFmtId="43" fontId="0" fillId="0" borderId="0" xfId="0" applyNumberFormat="1" applyAlignment="1">
      <alignment/>
    </xf>
    <xf numFmtId="0" fontId="0" fillId="33" borderId="0" xfId="0" applyFill="1" applyAlignment="1">
      <alignment/>
    </xf>
    <xf numFmtId="0" fontId="0" fillId="33" borderId="10" xfId="0" applyFill="1" applyBorder="1" applyAlignment="1">
      <alignment horizontal="center"/>
    </xf>
    <xf numFmtId="173" fontId="0" fillId="33" borderId="0" xfId="42" applyNumberFormat="1" applyFont="1" applyFill="1" applyAlignment="1">
      <alignment/>
    </xf>
    <xf numFmtId="0" fontId="0" fillId="34" borderId="10" xfId="0" applyFill="1" applyBorder="1" applyAlignment="1">
      <alignment horizontal="center"/>
    </xf>
    <xf numFmtId="173" fontId="0" fillId="34" borderId="0" xfId="42" applyNumberFormat="1" applyFont="1" applyFill="1" applyAlignment="1">
      <alignment/>
    </xf>
    <xf numFmtId="168" fontId="0" fillId="34" borderId="0" xfId="42" applyNumberFormat="1" applyFont="1" applyFill="1" applyAlignment="1">
      <alignment/>
    </xf>
    <xf numFmtId="0" fontId="0" fillId="34" borderId="0" xfId="0" applyFill="1" applyAlignment="1">
      <alignment/>
    </xf>
    <xf numFmtId="174" fontId="0" fillId="34" borderId="0" xfId="42" applyNumberFormat="1" applyFont="1" applyFill="1" applyAlignment="1">
      <alignment/>
    </xf>
    <xf numFmtId="0" fontId="0" fillId="35" borderId="10" xfId="0" applyFill="1" applyBorder="1" applyAlignment="1">
      <alignment horizontal="center"/>
    </xf>
    <xf numFmtId="173" fontId="0" fillId="35" borderId="0" xfId="42" applyNumberFormat="1" applyFont="1" applyFill="1" applyAlignment="1">
      <alignment/>
    </xf>
    <xf numFmtId="0" fontId="0" fillId="35" borderId="0" xfId="0" applyFill="1" applyAlignment="1">
      <alignment/>
    </xf>
    <xf numFmtId="0" fontId="0" fillId="36" borderId="10" xfId="0" applyFill="1" applyBorder="1" applyAlignment="1">
      <alignment horizontal="center"/>
    </xf>
    <xf numFmtId="173" fontId="0" fillId="36" borderId="0" xfId="42" applyNumberFormat="1" applyFont="1" applyFill="1" applyAlignment="1">
      <alignment/>
    </xf>
    <xf numFmtId="0" fontId="0" fillId="36" borderId="0" xfId="0" applyFill="1" applyAlignment="1">
      <alignment/>
    </xf>
    <xf numFmtId="174" fontId="0" fillId="36" borderId="0" xfId="42" applyNumberFormat="1" applyFont="1" applyFill="1" applyAlignment="1">
      <alignment/>
    </xf>
    <xf numFmtId="173" fontId="0" fillId="33" borderId="0" xfId="42" applyNumberFormat="1" applyFill="1" applyAlignment="1">
      <alignment/>
    </xf>
    <xf numFmtId="174" fontId="0" fillId="33" borderId="0" xfId="42" applyNumberFormat="1" applyFill="1" applyAlignment="1">
      <alignment/>
    </xf>
    <xf numFmtId="169" fontId="0" fillId="33" borderId="0" xfId="42" applyNumberFormat="1" applyFont="1" applyFill="1" applyAlignment="1">
      <alignment/>
    </xf>
    <xf numFmtId="169" fontId="0" fillId="35" borderId="0" xfId="42" applyNumberFormat="1" applyFont="1" applyFill="1" applyAlignment="1">
      <alignment/>
    </xf>
    <xf numFmtId="174" fontId="0" fillId="35" borderId="0" xfId="42" applyNumberFormat="1" applyFont="1" applyFill="1" applyAlignment="1">
      <alignment/>
    </xf>
    <xf numFmtId="43" fontId="0" fillId="36" borderId="0" xfId="42" applyNumberFormat="1" applyFont="1" applyFill="1" applyAlignment="1">
      <alignment/>
    </xf>
    <xf numFmtId="168" fontId="0" fillId="36" borderId="0" xfId="42" applyNumberFormat="1" applyFont="1" applyFill="1" applyAlignment="1">
      <alignment/>
    </xf>
    <xf numFmtId="169" fontId="0" fillId="36" borderId="0" xfId="42" applyNumberFormat="1" applyFill="1" applyAlignment="1">
      <alignment/>
    </xf>
    <xf numFmtId="43" fontId="0" fillId="36" borderId="0" xfId="42" applyFont="1" applyFill="1" applyAlignment="1">
      <alignment/>
    </xf>
    <xf numFmtId="169" fontId="0" fillId="35" borderId="0" xfId="42" applyNumberFormat="1" applyFill="1" applyAlignment="1">
      <alignment/>
    </xf>
    <xf numFmtId="169" fontId="0" fillId="33" borderId="0" xfId="42" applyNumberFormat="1" applyFill="1" applyAlignment="1">
      <alignment/>
    </xf>
    <xf numFmtId="174" fontId="0" fillId="34" borderId="0" xfId="42" applyNumberFormat="1" applyFill="1" applyAlignment="1">
      <alignment/>
    </xf>
    <xf numFmtId="169" fontId="0" fillId="34" borderId="0" xfId="42" applyNumberFormat="1" applyFill="1" applyAlignment="1">
      <alignment/>
    </xf>
    <xf numFmtId="43" fontId="0" fillId="34" borderId="0" xfId="42" applyFont="1" applyFill="1" applyAlignment="1">
      <alignment/>
    </xf>
    <xf numFmtId="43" fontId="0" fillId="33" borderId="0" xfId="42" applyNumberFormat="1" applyFont="1" applyFill="1" applyAlignment="1">
      <alignment/>
    </xf>
    <xf numFmtId="173" fontId="0" fillId="0" borderId="0" xfId="0" applyNumberFormat="1" applyAlignment="1">
      <alignment/>
    </xf>
    <xf numFmtId="0" fontId="1" fillId="37" borderId="0" xfId="0" applyFont="1" applyFill="1" applyAlignment="1">
      <alignment horizontal="center"/>
    </xf>
    <xf numFmtId="0" fontId="0" fillId="37" borderId="0" xfId="0" applyFill="1" applyAlignment="1">
      <alignment/>
    </xf>
    <xf numFmtId="0" fontId="10" fillId="37" borderId="0" xfId="0" applyFont="1" applyFill="1" applyAlignment="1">
      <alignment horizontal="center"/>
    </xf>
    <xf numFmtId="0" fontId="9" fillId="37" borderId="0" xfId="0" applyFont="1" applyFill="1" applyAlignment="1">
      <alignment horizontal="center"/>
    </xf>
    <xf numFmtId="43" fontId="0" fillId="33" borderId="0" xfId="42" applyNumberFormat="1" applyFont="1" applyFill="1" applyAlignment="1">
      <alignment horizontal="left" indent="2"/>
    </xf>
    <xf numFmtId="43" fontId="0" fillId="0" borderId="0" xfId="42" applyFont="1" applyAlignment="1">
      <alignment/>
    </xf>
    <xf numFmtId="43" fontId="0" fillId="33" borderId="0" xfId="0" applyNumberFormat="1" applyFill="1" applyAlignment="1">
      <alignment/>
    </xf>
    <xf numFmtId="43" fontId="0" fillId="33" borderId="0" xfId="42" applyFont="1" applyFill="1" applyAlignment="1">
      <alignment/>
    </xf>
    <xf numFmtId="168" fontId="0" fillId="0" borderId="0" xfId="42" applyNumberFormat="1" applyFont="1" applyAlignment="1">
      <alignment/>
    </xf>
    <xf numFmtId="169" fontId="0" fillId="0" borderId="0" xfId="42" applyNumberFormat="1" applyFont="1" applyAlignment="1">
      <alignment/>
    </xf>
    <xf numFmtId="173" fontId="0" fillId="0" borderId="0" xfId="42" applyNumberFormat="1" applyFont="1" applyAlignment="1">
      <alignment/>
    </xf>
    <xf numFmtId="172" fontId="0" fillId="0" borderId="0" xfId="0" applyNumberFormat="1" applyAlignment="1">
      <alignment/>
    </xf>
    <xf numFmtId="0" fontId="7" fillId="0" borderId="0" xfId="0" applyFont="1" applyAlignment="1">
      <alignment/>
    </xf>
    <xf numFmtId="0" fontId="2" fillId="34" borderId="11" xfId="0" applyFont="1" applyFill="1" applyBorder="1" applyAlignment="1">
      <alignment horizontal="centerContinuous"/>
    </xf>
    <xf numFmtId="0" fontId="0" fillId="34" borderId="12" xfId="0" applyFill="1" applyBorder="1" applyAlignment="1">
      <alignment horizontal="centerContinuous"/>
    </xf>
    <xf numFmtId="0" fontId="0" fillId="34" borderId="13" xfId="0" applyFill="1" applyBorder="1" applyAlignment="1">
      <alignment horizontal="centerContinuous"/>
    </xf>
    <xf numFmtId="0" fontId="2" fillId="35" borderId="11" xfId="0" applyFont="1" applyFill="1" applyBorder="1" applyAlignment="1">
      <alignment horizontal="centerContinuous"/>
    </xf>
    <xf numFmtId="0" fontId="2" fillId="35" borderId="12" xfId="0" applyFont="1" applyFill="1" applyBorder="1" applyAlignment="1">
      <alignment horizontal="centerContinuous"/>
    </xf>
    <xf numFmtId="0" fontId="2" fillId="35" borderId="13" xfId="0" applyFont="1" applyFill="1" applyBorder="1" applyAlignment="1">
      <alignment horizontal="centerContinuous"/>
    </xf>
    <xf numFmtId="0" fontId="0" fillId="35" borderId="13" xfId="0" applyFill="1" applyBorder="1" applyAlignment="1">
      <alignment horizontal="centerContinuous"/>
    </xf>
    <xf numFmtId="0" fontId="0" fillId="34" borderId="14" xfId="0" applyFill="1" applyBorder="1" applyAlignment="1">
      <alignment horizontal="center"/>
    </xf>
    <xf numFmtId="0" fontId="0" fillId="34" borderId="15" xfId="0" applyFill="1" applyBorder="1" applyAlignment="1">
      <alignment horizontal="center"/>
    </xf>
    <xf numFmtId="0" fontId="0" fillId="35" borderId="14" xfId="0" applyFill="1" applyBorder="1" applyAlignment="1">
      <alignment horizontal="center"/>
    </xf>
    <xf numFmtId="0" fontId="0" fillId="35" borderId="15" xfId="0" applyFill="1" applyBorder="1" applyAlignment="1">
      <alignment horizontal="center"/>
    </xf>
    <xf numFmtId="43" fontId="11" fillId="34" borderId="16" xfId="42" applyFont="1" applyFill="1" applyBorder="1" applyAlignment="1">
      <alignment/>
    </xf>
    <xf numFmtId="43" fontId="11" fillId="34" borderId="0" xfId="42" applyFont="1" applyFill="1" applyBorder="1" applyAlignment="1">
      <alignment/>
    </xf>
    <xf numFmtId="43" fontId="11" fillId="34" borderId="17" xfId="42" applyFont="1" applyFill="1" applyBorder="1" applyAlignment="1">
      <alignment/>
    </xf>
    <xf numFmtId="43" fontId="11" fillId="35" borderId="16" xfId="42" applyFont="1" applyFill="1" applyBorder="1" applyAlignment="1">
      <alignment/>
    </xf>
    <xf numFmtId="173" fontId="11" fillId="35" borderId="0" xfId="42" applyNumberFormat="1" applyFont="1" applyFill="1" applyBorder="1" applyAlignment="1">
      <alignment/>
    </xf>
    <xf numFmtId="43" fontId="11" fillId="35" borderId="17" xfId="42" applyFont="1" applyFill="1" applyBorder="1" applyAlignment="1">
      <alignment/>
    </xf>
    <xf numFmtId="43" fontId="11" fillId="34" borderId="16" xfId="0" applyNumberFormat="1" applyFont="1" applyFill="1" applyBorder="1" applyAlignment="1">
      <alignment/>
    </xf>
    <xf numFmtId="43" fontId="11" fillId="34" borderId="17" xfId="0" applyNumberFormat="1" applyFont="1" applyFill="1" applyBorder="1" applyAlignment="1">
      <alignment/>
    </xf>
    <xf numFmtId="43" fontId="11" fillId="35" borderId="16" xfId="0" applyNumberFormat="1" applyFont="1" applyFill="1" applyBorder="1" applyAlignment="1">
      <alignment/>
    </xf>
    <xf numFmtId="43" fontId="11" fillId="35" borderId="17" xfId="0" applyNumberFormat="1" applyFont="1" applyFill="1" applyBorder="1" applyAlignment="1">
      <alignment/>
    </xf>
    <xf numFmtId="43" fontId="11" fillId="35" borderId="0" xfId="42" applyFont="1" applyFill="1" applyBorder="1" applyAlignment="1">
      <alignment/>
    </xf>
    <xf numFmtId="0" fontId="0" fillId="34" borderId="16" xfId="0" applyFill="1" applyBorder="1" applyAlignment="1">
      <alignment/>
    </xf>
    <xf numFmtId="0" fontId="0" fillId="34" borderId="0" xfId="0" applyFill="1" applyBorder="1" applyAlignment="1">
      <alignment/>
    </xf>
    <xf numFmtId="0" fontId="0" fillId="34" borderId="17" xfId="0" applyFill="1" applyBorder="1" applyAlignment="1">
      <alignment/>
    </xf>
    <xf numFmtId="0" fontId="0" fillId="35" borderId="16" xfId="0" applyFill="1" applyBorder="1" applyAlignment="1">
      <alignment/>
    </xf>
    <xf numFmtId="0" fontId="0" fillId="35" borderId="0" xfId="0" applyFill="1" applyBorder="1" applyAlignment="1">
      <alignment/>
    </xf>
    <xf numFmtId="0" fontId="0" fillId="35" borderId="17" xfId="0" applyFill="1" applyBorder="1" applyAlignment="1">
      <alignment/>
    </xf>
    <xf numFmtId="0" fontId="0" fillId="34" borderId="14" xfId="0" applyFill="1" applyBorder="1" applyAlignment="1">
      <alignment/>
    </xf>
    <xf numFmtId="0" fontId="0" fillId="34" borderId="10" xfId="0" applyFill="1" applyBorder="1" applyAlignment="1">
      <alignment/>
    </xf>
    <xf numFmtId="0" fontId="0" fillId="34" borderId="15" xfId="0" applyFill="1" applyBorder="1" applyAlignment="1">
      <alignment/>
    </xf>
    <xf numFmtId="0" fontId="0" fillId="35" borderId="14" xfId="0" applyFill="1" applyBorder="1" applyAlignment="1">
      <alignment/>
    </xf>
    <xf numFmtId="0" fontId="0" fillId="35" borderId="10" xfId="0" applyFill="1" applyBorder="1" applyAlignment="1">
      <alignment/>
    </xf>
    <xf numFmtId="0" fontId="0" fillId="35" borderId="15" xfId="0" applyFill="1" applyBorder="1" applyAlignment="1">
      <alignment/>
    </xf>
    <xf numFmtId="0" fontId="2" fillId="34" borderId="12" xfId="0" applyFont="1" applyFill="1" applyBorder="1" applyAlignment="1">
      <alignment horizontal="centerContinuous"/>
    </xf>
    <xf numFmtId="0" fontId="0" fillId="35" borderId="18" xfId="0" applyFill="1" applyBorder="1" applyAlignment="1">
      <alignment horizontal="center"/>
    </xf>
    <xf numFmtId="0" fontId="0" fillId="35" borderId="19" xfId="0" applyFill="1" applyBorder="1" applyAlignment="1">
      <alignment horizontal="center"/>
    </xf>
    <xf numFmtId="43" fontId="11" fillId="35" borderId="20" xfId="42" applyFont="1" applyFill="1" applyBorder="1" applyAlignment="1">
      <alignment/>
    </xf>
    <xf numFmtId="172" fontId="0" fillId="34" borderId="18" xfId="0" applyNumberFormat="1" applyFill="1" applyBorder="1" applyAlignment="1">
      <alignment horizontal="center"/>
    </xf>
    <xf numFmtId="172" fontId="0" fillId="34" borderId="19" xfId="0" applyNumberFormat="1" applyFill="1" applyBorder="1" applyAlignment="1">
      <alignment/>
    </xf>
    <xf numFmtId="0" fontId="0" fillId="0" borderId="0" xfId="0" applyFont="1" applyAlignment="1">
      <alignment/>
    </xf>
    <xf numFmtId="174" fontId="0" fillId="0" borderId="0" xfId="42" applyNumberFormat="1" applyFont="1" applyFill="1" applyAlignment="1">
      <alignment/>
    </xf>
    <xf numFmtId="0" fontId="0" fillId="0" borderId="0" xfId="0" applyFont="1" applyFill="1" applyAlignment="1">
      <alignment/>
    </xf>
    <xf numFmtId="169" fontId="0" fillId="0" borderId="0" xfId="42" applyNumberFormat="1" applyFont="1" applyFill="1" applyAlignment="1">
      <alignment/>
    </xf>
    <xf numFmtId="0" fontId="11" fillId="0" borderId="0" xfId="0" applyFont="1" applyAlignment="1">
      <alignment horizontal="center"/>
    </xf>
    <xf numFmtId="173" fontId="11" fillId="0" borderId="0" xfId="42" applyNumberFormat="1" applyFont="1" applyAlignment="1">
      <alignment/>
    </xf>
    <xf numFmtId="173" fontId="11" fillId="0" borderId="0" xfId="0" applyNumberFormat="1" applyFont="1" applyAlignment="1">
      <alignment/>
    </xf>
    <xf numFmtId="172" fontId="11" fillId="0" borderId="0" xfId="42" applyNumberFormat="1" applyFont="1" applyFill="1" applyAlignment="1">
      <alignment/>
    </xf>
    <xf numFmtId="173" fontId="0" fillId="0" borderId="0" xfId="42" applyNumberFormat="1" applyFont="1" applyAlignment="1">
      <alignment/>
    </xf>
    <xf numFmtId="173" fontId="0" fillId="0" borderId="0" xfId="0" applyNumberFormat="1" applyFont="1" applyAlignment="1">
      <alignment/>
    </xf>
    <xf numFmtId="0" fontId="0" fillId="0" borderId="0" xfId="0" applyBorder="1" applyAlignment="1">
      <alignment/>
    </xf>
    <xf numFmtId="0" fontId="0" fillId="0" borderId="10" xfId="0" applyFont="1" applyBorder="1" applyAlignment="1">
      <alignment/>
    </xf>
    <xf numFmtId="0" fontId="0" fillId="0" borderId="0" xfId="0" applyFont="1" applyAlignment="1">
      <alignment/>
    </xf>
    <xf numFmtId="0" fontId="0" fillId="0" borderId="10"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0" xfId="0" applyFont="1" applyBorder="1" applyAlignment="1">
      <alignment/>
    </xf>
    <xf numFmtId="0" fontId="0" fillId="0" borderId="17" xfId="0" applyFont="1" applyBorder="1" applyAlignment="1">
      <alignment/>
    </xf>
    <xf numFmtId="0" fontId="11" fillId="0" borderId="0" xfId="0" applyFont="1" applyBorder="1" applyAlignment="1">
      <alignment/>
    </xf>
    <xf numFmtId="0" fontId="12" fillId="0" borderId="0" xfId="0" applyFont="1" applyBorder="1" applyAlignment="1">
      <alignment/>
    </xf>
    <xf numFmtId="0" fontId="0" fillId="0" borderId="17" xfId="0" applyFont="1" applyBorder="1" applyAlignment="1">
      <alignment/>
    </xf>
    <xf numFmtId="0" fontId="0" fillId="0" borderId="16" xfId="0" applyFont="1" applyBorder="1" applyAlignment="1">
      <alignment/>
    </xf>
    <xf numFmtId="0" fontId="0" fillId="0" borderId="0" xfId="0" applyFont="1" applyBorder="1" applyAlignment="1">
      <alignment/>
    </xf>
    <xf numFmtId="0" fontId="0" fillId="38" borderId="0" xfId="0" applyFont="1" applyFill="1" applyBorder="1" applyAlignment="1">
      <alignment/>
    </xf>
    <xf numFmtId="0" fontId="0" fillId="0" borderId="14" xfId="0" applyFont="1" applyBorder="1" applyAlignment="1">
      <alignment/>
    </xf>
    <xf numFmtId="0" fontId="0" fillId="0" borderId="10" xfId="0" applyFont="1" applyBorder="1" applyAlignment="1">
      <alignment/>
    </xf>
    <xf numFmtId="0" fontId="0" fillId="0" borderId="15"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6" xfId="0" applyBorder="1" applyAlignment="1">
      <alignment/>
    </xf>
    <xf numFmtId="0" fontId="0" fillId="0" borderId="17" xfId="0" applyBorder="1" applyAlignment="1">
      <alignment/>
    </xf>
    <xf numFmtId="0" fontId="0" fillId="0" borderId="14" xfId="0" applyBorder="1" applyAlignment="1">
      <alignment/>
    </xf>
    <xf numFmtId="0" fontId="0" fillId="0" borderId="15" xfId="0" applyBorder="1" applyAlignment="1">
      <alignment/>
    </xf>
    <xf numFmtId="0" fontId="0" fillId="38" borderId="0" xfId="0" applyFill="1" applyBorder="1" applyAlignment="1">
      <alignment/>
    </xf>
    <xf numFmtId="0" fontId="0" fillId="38" borderId="0" xfId="0"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3" fillId="0" borderId="0" xfId="0" applyFont="1" applyBorder="1" applyAlignment="1">
      <alignment/>
    </xf>
    <xf numFmtId="173" fontId="0" fillId="0" borderId="0" xfId="42" applyNumberFormat="1" applyFill="1" applyAlignment="1">
      <alignment/>
    </xf>
    <xf numFmtId="174" fontId="0" fillId="0" borderId="0" xfId="42" applyNumberFormat="1" applyFill="1" applyAlignment="1">
      <alignment/>
    </xf>
    <xf numFmtId="0" fontId="0" fillId="0" borderId="0" xfId="0" applyFill="1" applyAlignment="1">
      <alignment/>
    </xf>
    <xf numFmtId="169" fontId="0" fillId="0" borderId="0" xfId="42" applyNumberFormat="1" applyFill="1" applyAlignment="1">
      <alignment/>
    </xf>
    <xf numFmtId="43" fontId="0" fillId="0" borderId="0" xfId="42" applyFont="1" applyFill="1" applyAlignment="1">
      <alignment/>
    </xf>
    <xf numFmtId="43" fontId="11" fillId="0" borderId="0" xfId="42" applyFont="1" applyAlignment="1">
      <alignment/>
    </xf>
    <xf numFmtId="168" fontId="11" fillId="34" borderId="20" xfId="0" applyNumberFormat="1" applyFont="1" applyFill="1" applyBorder="1" applyAlignment="1">
      <alignment/>
    </xf>
    <xf numFmtId="168" fontId="11" fillId="34" borderId="19" xfId="0" applyNumberFormat="1" applyFont="1" applyFill="1" applyBorder="1" applyAlignment="1">
      <alignment/>
    </xf>
    <xf numFmtId="0" fontId="11" fillId="35" borderId="20" xfId="0" applyFont="1" applyFill="1" applyBorder="1" applyAlignment="1">
      <alignment/>
    </xf>
    <xf numFmtId="0" fontId="11" fillId="35" borderId="19" xfId="0" applyFont="1" applyFill="1" applyBorder="1" applyAlignment="1">
      <alignment/>
    </xf>
    <xf numFmtId="43" fontId="0" fillId="0" borderId="0" xfId="42" applyNumberFormat="1" applyFont="1" applyFill="1" applyAlignment="1">
      <alignment/>
    </xf>
    <xf numFmtId="168" fontId="0" fillId="0" borderId="0" xfId="42" applyNumberFormat="1" applyFont="1" applyFill="1" applyAlignment="1">
      <alignment/>
    </xf>
    <xf numFmtId="0" fontId="0" fillId="0" borderId="0" xfId="0" applyAlignment="1" quotePrefix="1">
      <alignment/>
    </xf>
    <xf numFmtId="174" fontId="0" fillId="0" borderId="0" xfId="42" applyNumberFormat="1" applyFont="1" applyAlignment="1">
      <alignment/>
    </xf>
    <xf numFmtId="168" fontId="0" fillId="0" borderId="0" xfId="42" applyNumberFormat="1" applyAlignment="1">
      <alignment/>
    </xf>
    <xf numFmtId="43" fontId="0" fillId="0" borderId="0" xfId="42" applyAlignment="1">
      <alignment/>
    </xf>
    <xf numFmtId="168" fontId="0" fillId="0" borderId="0" xfId="42" applyNumberFormat="1" applyFill="1" applyAlignment="1">
      <alignment/>
    </xf>
    <xf numFmtId="0" fontId="0" fillId="0" borderId="0" xfId="0" applyAlignment="1">
      <alignment horizontal="center"/>
    </xf>
    <xf numFmtId="0" fontId="0" fillId="0" borderId="0" xfId="0" applyFill="1" applyBorder="1" applyAlignment="1">
      <alignment/>
    </xf>
    <xf numFmtId="43" fontId="0" fillId="0" borderId="10" xfId="0" applyNumberFormat="1" applyBorder="1" applyAlignment="1">
      <alignment/>
    </xf>
    <xf numFmtId="43" fontId="0" fillId="0" borderId="10" xfId="42" applyFont="1" applyBorder="1" applyAlignment="1">
      <alignment/>
    </xf>
    <xf numFmtId="43" fontId="0" fillId="34" borderId="0" xfId="0" applyNumberFormat="1" applyFill="1" applyAlignment="1">
      <alignment/>
    </xf>
    <xf numFmtId="43" fontId="0" fillId="33" borderId="21" xfId="0" applyNumberFormat="1" applyFill="1" applyBorder="1" applyAlignment="1">
      <alignment/>
    </xf>
    <xf numFmtId="43" fontId="0" fillId="34" borderId="21" xfId="0" applyNumberFormat="1" applyFill="1" applyBorder="1" applyAlignment="1">
      <alignment/>
    </xf>
    <xf numFmtId="173" fontId="0" fillId="33" borderId="0" xfId="42" applyNumberFormat="1" applyFont="1" applyFill="1" applyBorder="1" applyAlignment="1">
      <alignment/>
    </xf>
    <xf numFmtId="173" fontId="0" fillId="34" borderId="0" xfId="42" applyNumberFormat="1" applyFont="1" applyFill="1" applyBorder="1" applyAlignment="1">
      <alignment/>
    </xf>
    <xf numFmtId="170" fontId="0" fillId="35" borderId="0" xfId="42" applyNumberFormat="1" applyFill="1" applyAlignment="1">
      <alignment/>
    </xf>
    <xf numFmtId="168" fontId="0" fillId="35" borderId="0" xfId="42" applyNumberFormat="1" applyFont="1" applyFill="1" applyAlignment="1">
      <alignment/>
    </xf>
    <xf numFmtId="0" fontId="0" fillId="0" borderId="10" xfId="0" applyFill="1" applyBorder="1" applyAlignment="1">
      <alignment/>
    </xf>
    <xf numFmtId="43" fontId="0" fillId="38" borderId="0" xfId="42" applyFont="1" applyFill="1" applyAlignment="1">
      <alignment/>
    </xf>
    <xf numFmtId="43" fontId="0" fillId="38" borderId="0" xfId="0" applyNumberFormat="1" applyFill="1" applyAlignment="1">
      <alignment/>
    </xf>
    <xf numFmtId="169" fontId="0" fillId="0" borderId="0" xfId="0" applyNumberFormat="1" applyAlignment="1">
      <alignment/>
    </xf>
    <xf numFmtId="170" fontId="0" fillId="0" borderId="0" xfId="0" applyNumberFormat="1" applyAlignment="1">
      <alignment/>
    </xf>
    <xf numFmtId="170" fontId="0" fillId="0" borderId="0" xfId="42" applyNumberFormat="1" applyFont="1" applyFill="1" applyAlignment="1">
      <alignment/>
    </xf>
    <xf numFmtId="202" fontId="0" fillId="0" borderId="0" xfId="0" applyNumberFormat="1" applyAlignment="1">
      <alignment/>
    </xf>
    <xf numFmtId="43" fontId="0" fillId="0" borderId="0" xfId="42" applyNumberFormat="1" applyFont="1" applyAlignment="1">
      <alignment/>
    </xf>
    <xf numFmtId="0" fontId="0" fillId="39" borderId="0" xfId="0" applyFill="1" applyAlignment="1">
      <alignment/>
    </xf>
    <xf numFmtId="173" fontId="0" fillId="0" borderId="0" xfId="42" applyNumberFormat="1" applyFont="1" applyAlignment="1">
      <alignment horizontal="center"/>
    </xf>
    <xf numFmtId="43" fontId="0" fillId="0" borderId="0" xfId="42" applyNumberFormat="1" applyFont="1" applyAlignment="1">
      <alignment/>
    </xf>
    <xf numFmtId="172" fontId="0" fillId="0" borderId="0" xfId="42" applyNumberFormat="1" applyFont="1" applyAlignment="1">
      <alignment/>
    </xf>
    <xf numFmtId="43" fontId="0" fillId="36" borderId="0" xfId="42" applyNumberFormat="1" applyFill="1" applyAlignment="1">
      <alignment/>
    </xf>
    <xf numFmtId="43" fontId="0" fillId="36" borderId="0" xfId="42" applyFont="1" applyFill="1" applyAlignment="1">
      <alignment/>
    </xf>
    <xf numFmtId="173" fontId="0" fillId="36" borderId="0" xfId="0" applyNumberFormat="1" applyFont="1" applyFill="1" applyAlignment="1">
      <alignment/>
    </xf>
    <xf numFmtId="172" fontId="0" fillId="36" borderId="0" xfId="42" applyNumberFormat="1" applyFont="1" applyFill="1" applyAlignment="1">
      <alignment/>
    </xf>
    <xf numFmtId="168" fontId="0" fillId="33" borderId="0" xfId="42" applyNumberFormat="1" applyFont="1" applyFill="1" applyAlignment="1">
      <alignment/>
    </xf>
    <xf numFmtId="43" fontId="0" fillId="33" borderId="0" xfId="42" applyFont="1" applyFill="1" applyAlignment="1">
      <alignment/>
    </xf>
    <xf numFmtId="173" fontId="0" fillId="33" borderId="0" xfId="0" applyNumberFormat="1" applyFont="1" applyFill="1" applyAlignment="1">
      <alignment/>
    </xf>
    <xf numFmtId="172" fontId="0" fillId="33" borderId="0" xfId="42" applyNumberFormat="1" applyFont="1" applyFill="1" applyAlignment="1">
      <alignment/>
    </xf>
    <xf numFmtId="43" fontId="0" fillId="34" borderId="0" xfId="42" applyFont="1" applyFill="1" applyAlignment="1">
      <alignment/>
    </xf>
    <xf numFmtId="173" fontId="0" fillId="34" borderId="0" xfId="0" applyNumberFormat="1" applyFont="1" applyFill="1" applyAlignment="1">
      <alignment/>
    </xf>
    <xf numFmtId="172" fontId="0" fillId="34" borderId="0" xfId="42" applyNumberFormat="1" applyFont="1" applyFill="1" applyAlignment="1">
      <alignment/>
    </xf>
    <xf numFmtId="43" fontId="0" fillId="35" borderId="0" xfId="42" applyFont="1" applyFill="1" applyAlignment="1">
      <alignment/>
    </xf>
    <xf numFmtId="173" fontId="0" fillId="35" borderId="0" xfId="0" applyNumberFormat="1" applyFont="1" applyFill="1" applyAlignment="1">
      <alignment/>
    </xf>
    <xf numFmtId="172" fontId="0" fillId="35" borderId="0" xfId="42" applyNumberFormat="1" applyFont="1" applyFill="1" applyAlignment="1">
      <alignment/>
    </xf>
    <xf numFmtId="168" fontId="0" fillId="39" borderId="0" xfId="42" applyNumberFormat="1" applyFont="1" applyFill="1" applyAlignment="1">
      <alignment/>
    </xf>
    <xf numFmtId="174" fontId="0" fillId="39" borderId="0" xfId="42" applyNumberFormat="1" applyFont="1" applyFill="1" applyAlignment="1">
      <alignment/>
    </xf>
    <xf numFmtId="43" fontId="0" fillId="39" borderId="0" xfId="42" applyFont="1" applyFill="1" applyAlignment="1">
      <alignment/>
    </xf>
    <xf numFmtId="173" fontId="0" fillId="39" borderId="0" xfId="0" applyNumberFormat="1" applyFont="1" applyFill="1" applyAlignment="1">
      <alignment/>
    </xf>
    <xf numFmtId="172" fontId="0" fillId="39" borderId="0" xfId="42" applyNumberFormat="1" applyFont="1" applyFill="1" applyAlignment="1">
      <alignment/>
    </xf>
    <xf numFmtId="0" fontId="1" fillId="0" borderId="10" xfId="0" applyFont="1" applyBorder="1" applyAlignment="1">
      <alignment/>
    </xf>
    <xf numFmtId="174" fontId="1" fillId="0" borderId="10" xfId="42" applyNumberFormat="1" applyFont="1" applyBorder="1" applyAlignment="1">
      <alignment/>
    </xf>
    <xf numFmtId="43" fontId="0" fillId="0" borderId="0" xfId="42" applyNumberFormat="1" applyFill="1" applyAlignment="1">
      <alignment/>
    </xf>
    <xf numFmtId="168" fontId="0" fillId="0" borderId="0" xfId="42" applyNumberFormat="1" applyFont="1" applyAlignment="1">
      <alignment/>
    </xf>
    <xf numFmtId="0" fontId="14" fillId="0" borderId="0" xfId="0" applyFont="1" applyAlignment="1">
      <alignment/>
    </xf>
    <xf numFmtId="0" fontId="3" fillId="37" borderId="0" xfId="53" applyFill="1" applyAlignment="1" applyProtection="1">
      <alignment/>
      <protection/>
    </xf>
    <xf numFmtId="0" fontId="0" fillId="37" borderId="0" xfId="0" applyFill="1" applyBorder="1" applyAlignment="1">
      <alignment wrapText="1"/>
    </xf>
    <xf numFmtId="0" fontId="15" fillId="37" borderId="0" xfId="0" applyFont="1" applyFill="1" applyBorder="1" applyAlignment="1" applyProtection="1">
      <alignment vertical="top" wrapText="1"/>
      <protection/>
    </xf>
    <xf numFmtId="173" fontId="62" fillId="34" borderId="0" xfId="42" applyNumberFormat="1" applyFont="1" applyFill="1" applyAlignment="1">
      <alignment/>
    </xf>
    <xf numFmtId="173" fontId="62" fillId="36" borderId="0" xfId="42" applyNumberFormat="1" applyFont="1" applyFill="1" applyAlignment="1">
      <alignment/>
    </xf>
    <xf numFmtId="173" fontId="62" fillId="33" borderId="0" xfId="42" applyNumberFormat="1" applyFont="1" applyFill="1" applyAlignment="1">
      <alignment/>
    </xf>
    <xf numFmtId="168" fontId="62" fillId="34" borderId="0" xfId="42" applyNumberFormat="1" applyFont="1" applyFill="1" applyAlignment="1">
      <alignment/>
    </xf>
    <xf numFmtId="43" fontId="62" fillId="34" borderId="0" xfId="42" applyNumberFormat="1" applyFont="1" applyFill="1" applyAlignment="1">
      <alignment/>
    </xf>
    <xf numFmtId="173" fontId="62" fillId="35" borderId="0" xfId="42" applyNumberFormat="1" applyFont="1" applyFill="1" applyAlignment="1">
      <alignment/>
    </xf>
    <xf numFmtId="168" fontId="62" fillId="36" borderId="0" xfId="42" applyNumberFormat="1" applyFont="1" applyFill="1" applyAlignment="1">
      <alignment/>
    </xf>
    <xf numFmtId="43" fontId="62" fillId="36" borderId="0" xfId="42" applyNumberFormat="1" applyFont="1" applyFill="1" applyAlignment="1">
      <alignment/>
    </xf>
    <xf numFmtId="172" fontId="62" fillId="33" borderId="0" xfId="42" applyNumberFormat="1" applyFont="1" applyFill="1" applyAlignment="1">
      <alignment/>
    </xf>
    <xf numFmtId="0" fontId="62" fillId="35" borderId="0" xfId="0" applyFont="1" applyFill="1" applyAlignment="1">
      <alignment/>
    </xf>
    <xf numFmtId="0" fontId="62" fillId="34" borderId="0" xfId="0" applyFont="1" applyFill="1" applyAlignment="1">
      <alignment/>
    </xf>
    <xf numFmtId="0" fontId="62" fillId="36" borderId="0" xfId="0" applyFont="1" applyFill="1" applyAlignment="1">
      <alignment/>
    </xf>
    <xf numFmtId="172" fontId="62" fillId="34" borderId="0" xfId="42" applyNumberFormat="1" applyFont="1" applyFill="1" applyAlignment="1">
      <alignment/>
    </xf>
    <xf numFmtId="170" fontId="62" fillId="36" borderId="0" xfId="42" applyNumberFormat="1" applyFont="1" applyFill="1" applyAlignment="1">
      <alignment/>
    </xf>
    <xf numFmtId="43" fontId="62" fillId="34" borderId="0" xfId="42" applyFont="1" applyFill="1" applyAlignment="1">
      <alignment/>
    </xf>
    <xf numFmtId="43" fontId="62" fillId="36" borderId="0" xfId="42" applyFont="1" applyFill="1" applyAlignment="1">
      <alignment/>
    </xf>
    <xf numFmtId="170" fontId="62" fillId="35" borderId="0" xfId="42" applyNumberFormat="1" applyFont="1" applyFill="1" applyAlignment="1">
      <alignment/>
    </xf>
    <xf numFmtId="173" fontId="0" fillId="40" borderId="0" xfId="42" applyNumberFormat="1" applyFill="1" applyAlignment="1">
      <alignment/>
    </xf>
    <xf numFmtId="0" fontId="0" fillId="40" borderId="0" xfId="0" applyFill="1" applyAlignment="1">
      <alignment/>
    </xf>
    <xf numFmtId="172" fontId="62" fillId="40" borderId="0" xfId="42" applyNumberFormat="1" applyFont="1" applyFill="1" applyAlignment="1">
      <alignment/>
    </xf>
    <xf numFmtId="173" fontId="0" fillId="30" borderId="0" xfId="42" applyNumberFormat="1" applyFont="1" applyFill="1" applyAlignment="1">
      <alignment/>
    </xf>
    <xf numFmtId="174" fontId="0" fillId="40" borderId="0" xfId="42" applyNumberFormat="1" applyFont="1" applyFill="1" applyAlignment="1">
      <alignment/>
    </xf>
    <xf numFmtId="43" fontId="0" fillId="30" borderId="0" xfId="42" applyFont="1" applyFill="1" applyAlignment="1">
      <alignment/>
    </xf>
    <xf numFmtId="174" fontId="0" fillId="30" borderId="0" xfId="42" applyNumberFormat="1" applyFont="1" applyFill="1" applyAlignment="1">
      <alignment/>
    </xf>
    <xf numFmtId="169" fontId="0" fillId="40" borderId="0" xfId="42" applyNumberFormat="1" applyFont="1" applyFill="1" applyAlignment="1">
      <alignment/>
    </xf>
    <xf numFmtId="169" fontId="0" fillId="30" borderId="0" xfId="42" applyNumberFormat="1" applyFont="1" applyFill="1" applyAlignment="1">
      <alignment/>
    </xf>
    <xf numFmtId="43" fontId="0" fillId="40" borderId="0" xfId="42" applyNumberFormat="1" applyFont="1" applyFill="1" applyAlignment="1">
      <alignment/>
    </xf>
    <xf numFmtId="173" fontId="62" fillId="40" borderId="0" xfId="42" applyNumberFormat="1" applyFont="1" applyFill="1" applyAlignment="1">
      <alignment/>
    </xf>
    <xf numFmtId="174" fontId="62" fillId="40" borderId="0" xfId="42" applyNumberFormat="1" applyFont="1" applyFill="1" applyAlignment="1">
      <alignment/>
    </xf>
    <xf numFmtId="173" fontId="62" fillId="30" borderId="0" xfId="42" applyNumberFormat="1" applyFont="1" applyFill="1" applyAlignment="1">
      <alignment/>
    </xf>
    <xf numFmtId="174" fontId="62" fillId="30" borderId="0" xfId="42" applyNumberFormat="1" applyFont="1" applyFill="1" applyAlignment="1">
      <alignment/>
    </xf>
    <xf numFmtId="168" fontId="62" fillId="30" borderId="0" xfId="42" applyNumberFormat="1" applyFont="1" applyFill="1" applyAlignment="1">
      <alignment/>
    </xf>
    <xf numFmtId="170" fontId="62" fillId="30" borderId="0" xfId="42" applyNumberFormat="1" applyFont="1" applyFill="1" applyAlignment="1">
      <alignment/>
    </xf>
    <xf numFmtId="0" fontId="6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525"/>
          <c:w val="0.816"/>
          <c:h val="0.9695"/>
        </c:manualLayout>
      </c:layout>
      <c:scatterChart>
        <c:scatterStyle val="smoothMarker"/>
        <c:varyColors val="0"/>
        <c:ser>
          <c:idx val="0"/>
          <c:order val="0"/>
          <c:tx>
            <c:v>1.01 Bar</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Homogenious'!$K$43:$K$53</c:f>
              <c:numCache/>
            </c:numRef>
          </c:xVal>
          <c:yVal>
            <c:numRef>
              <c:f>'2-Phase Homogenious'!$L$43:$L$53</c:f>
              <c:numCache/>
            </c:numRef>
          </c:yVal>
          <c:smooth val="1"/>
        </c:ser>
        <c:ser>
          <c:idx val="1"/>
          <c:order val="1"/>
          <c:tx>
            <c:v>6.89 Bar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Homogenious'!$K$43:$K$53</c:f>
              <c:numCache/>
            </c:numRef>
          </c:xVal>
          <c:yVal>
            <c:numRef>
              <c:f>'2-Phase Homogenious'!$M$43:$M$53</c:f>
              <c:numCache/>
            </c:numRef>
          </c:yVal>
          <c:smooth val="1"/>
        </c:ser>
        <c:ser>
          <c:idx val="2"/>
          <c:order val="2"/>
          <c:tx>
            <c:v>34.4 Bar</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Homogenious'!$K$43:$K$53</c:f>
              <c:numCache/>
            </c:numRef>
          </c:xVal>
          <c:yVal>
            <c:numRef>
              <c:f>'2-Phase Homogenious'!$N$43:$N$53</c:f>
              <c:numCache/>
            </c:numRef>
          </c:yVal>
          <c:smooth val="1"/>
        </c:ser>
        <c:ser>
          <c:idx val="3"/>
          <c:order val="3"/>
          <c:tx>
            <c:v>68.9 Bar</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Homogenious'!$K$43:$K$53</c:f>
              <c:numCache/>
            </c:numRef>
          </c:xVal>
          <c:yVal>
            <c:numRef>
              <c:f>'2-Phase Homogenious'!$O$43:$O$53</c:f>
              <c:numCache/>
            </c:numRef>
          </c:yVal>
          <c:smooth val="1"/>
        </c:ser>
        <c:ser>
          <c:idx val="4"/>
          <c:order val="4"/>
          <c:tx>
            <c:v>103 Bar</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Homogenious'!$K$43:$K$53</c:f>
              <c:numCache/>
            </c:numRef>
          </c:xVal>
          <c:yVal>
            <c:numRef>
              <c:f>'2-Phase Homogenious'!$P$43:$P$53</c:f>
              <c:numCache/>
            </c:numRef>
          </c:yVal>
          <c:smooth val="1"/>
        </c:ser>
        <c:ser>
          <c:idx val="5"/>
          <c:order val="5"/>
          <c:tx>
            <c:v>138 Bar</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Homogenious'!$K$43:$K$53</c:f>
              <c:numCache/>
            </c:numRef>
          </c:xVal>
          <c:yVal>
            <c:numRef>
              <c:f>'2-Phase Homogenious'!$Q$43:$Q$53</c:f>
              <c:numCache/>
            </c:numRef>
          </c:yVal>
          <c:smooth val="1"/>
        </c:ser>
        <c:ser>
          <c:idx val="6"/>
          <c:order val="6"/>
          <c:tx>
            <c:v>172 Bar</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Homogenious'!$K$43:$K$53</c:f>
              <c:numCache/>
            </c:numRef>
          </c:xVal>
          <c:yVal>
            <c:numRef>
              <c:f>'2-Phase Homogenious'!$R$43:$R$53</c:f>
              <c:numCache/>
            </c:numRef>
          </c:yVal>
          <c:smooth val="1"/>
        </c:ser>
        <c:ser>
          <c:idx val="7"/>
          <c:order val="7"/>
          <c:tx>
            <c:v>207 Bar</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Homogenious'!$K$43:$K$53</c:f>
              <c:numCache/>
            </c:numRef>
          </c:xVal>
          <c:yVal>
            <c:numRef>
              <c:f>'2-Phase Homogenious'!$S$43:$S$53</c:f>
              <c:numCache/>
            </c:numRef>
          </c:yVal>
          <c:smooth val="1"/>
        </c:ser>
        <c:ser>
          <c:idx val="8"/>
          <c:order val="8"/>
          <c:tx>
            <c:v>221.2 Bar</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Homogenious'!$K$43:$K$53</c:f>
              <c:numCache/>
            </c:numRef>
          </c:xVal>
          <c:yVal>
            <c:numRef>
              <c:f>'2-Phase Homogenious'!$T$43:$T$53</c:f>
              <c:numCache/>
            </c:numRef>
          </c:yVal>
          <c:smooth val="1"/>
        </c:ser>
        <c:axId val="13427046"/>
        <c:axId val="53734551"/>
      </c:scatterChart>
      <c:valAx>
        <c:axId val="13427046"/>
        <c:scaling>
          <c:orientation val="minMax"/>
          <c:max val="1"/>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734551"/>
        <c:crosses val="autoZero"/>
        <c:crossBetween val="midCat"/>
        <c:dispUnits/>
      </c:valAx>
      <c:valAx>
        <c:axId val="53734551"/>
        <c:scaling>
          <c:logBase val="10"/>
          <c:orientation val="minMax"/>
        </c:scaling>
        <c:axPos val="l"/>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13427046"/>
        <c:crosses val="autoZero"/>
        <c:crossBetween val="midCat"/>
        <c:dispUnits/>
      </c:valAx>
      <c:spPr>
        <a:solidFill>
          <a:srgbClr val="C0C0C0"/>
        </a:solidFill>
        <a:ln w="12700">
          <a:solidFill>
            <a:srgbClr val="808080"/>
          </a:solidFill>
        </a:ln>
      </c:spPr>
    </c:plotArea>
    <c:legend>
      <c:legendPos val="r"/>
      <c:layout>
        <c:manualLayout>
          <c:xMode val="edge"/>
          <c:yMode val="edge"/>
          <c:x val="0.8525"/>
          <c:y val="0.35575"/>
          <c:w val="0.14225"/>
          <c:h val="0.26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1525"/>
          <c:w val="0.8325"/>
          <c:h val="0.9695"/>
        </c:manualLayout>
      </c:layout>
      <c:scatterChart>
        <c:scatterStyle val="smoothMarker"/>
        <c:varyColors val="0"/>
        <c:ser>
          <c:idx val="0"/>
          <c:order val="0"/>
          <c:tx>
            <c:v>G=339</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Homogenious'!$K$90:$K$100</c:f>
              <c:numCache/>
            </c:numRef>
          </c:xVal>
          <c:yVal>
            <c:numRef>
              <c:f>'2-Phase Homogenious'!$L$90:$L$100</c:f>
              <c:numCache/>
            </c:numRef>
          </c:yVal>
          <c:smooth val="1"/>
        </c:ser>
        <c:ser>
          <c:idx val="1"/>
          <c:order val="1"/>
          <c:tx>
            <c:v>G=1356</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Homogenious'!$K$90:$K$100</c:f>
              <c:numCache/>
            </c:numRef>
          </c:xVal>
          <c:yVal>
            <c:numRef>
              <c:f>'2-Phase Homogenious'!$M$90:$M$100</c:f>
              <c:numCache/>
            </c:numRef>
          </c:yVal>
          <c:smooth val="1"/>
        </c:ser>
        <c:ser>
          <c:idx val="2"/>
          <c:order val="2"/>
          <c:tx>
            <c:v>G=5424</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Homogenious'!$K$90:$K$100</c:f>
              <c:numCache/>
            </c:numRef>
          </c:xVal>
          <c:yVal>
            <c:numRef>
              <c:f>'2-Phase Homogenious'!$N$90:$N$100</c:f>
              <c:numCache/>
            </c:numRef>
          </c:yVal>
          <c:smooth val="1"/>
        </c:ser>
        <c:axId val="13848912"/>
        <c:axId val="57531345"/>
      </c:scatterChart>
      <c:valAx>
        <c:axId val="13848912"/>
        <c:scaling>
          <c:orientation val="minMax"/>
          <c:max val="1"/>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531345"/>
        <c:crosses val="autoZero"/>
        <c:crossBetween val="midCat"/>
        <c:dispUnits/>
      </c:valAx>
      <c:valAx>
        <c:axId val="57531345"/>
        <c:scaling>
          <c:orientation val="minMax"/>
        </c:scaling>
        <c:axPos val="l"/>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13848912"/>
        <c:crosses val="autoZero"/>
        <c:crossBetween val="midCat"/>
        <c:dispUnits/>
      </c:valAx>
      <c:spPr>
        <a:solidFill>
          <a:srgbClr val="C0C0C0"/>
        </a:solidFill>
        <a:ln w="12700">
          <a:solidFill>
            <a:srgbClr val="808080"/>
          </a:solidFill>
        </a:ln>
      </c:spPr>
    </c:plotArea>
    <c:legend>
      <c:legendPos val="r"/>
      <c:layout>
        <c:manualLayout>
          <c:xMode val="edge"/>
          <c:yMode val="edge"/>
          <c:x val="0.86825"/>
          <c:y val="0.4435"/>
          <c:w val="0.125"/>
          <c:h val="0.08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1525"/>
          <c:w val="0.82775"/>
          <c:h val="0.9695"/>
        </c:manualLayout>
      </c:layout>
      <c:scatterChart>
        <c:scatterStyle val="smoothMarker"/>
        <c:varyColors val="0"/>
        <c:ser>
          <c:idx val="0"/>
          <c:order val="0"/>
          <c:tx>
            <c:v>Awad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Homogenious'!$K$90:$K$100</c:f>
              <c:numCache/>
            </c:numRef>
          </c:xVal>
          <c:yVal>
            <c:numRef>
              <c:f>'2-Phase Homogenious'!$L$127:$L$137</c:f>
              <c:numCache/>
            </c:numRef>
          </c:yVal>
          <c:smooth val="1"/>
        </c:ser>
        <c:ser>
          <c:idx val="1"/>
          <c:order val="1"/>
          <c:tx>
            <c:v>Janssen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xVal>
            <c:numRef>
              <c:f>'2-Phase Homogenious'!$K$127:$K$133</c:f>
              <c:numCache/>
            </c:numRef>
          </c:xVal>
          <c:yVal>
            <c:numRef>
              <c:f>'2-Phase Homogenious'!$M$127:$M$133</c:f>
              <c:numCache/>
            </c:numRef>
          </c:yVal>
          <c:smooth val="1"/>
        </c:ser>
        <c:axId val="48020058"/>
        <c:axId val="29527339"/>
      </c:scatterChart>
      <c:valAx>
        <c:axId val="48020058"/>
        <c:scaling>
          <c:orientation val="minMax"/>
          <c:max val="1"/>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527339"/>
        <c:crosses val="autoZero"/>
        <c:crossBetween val="midCat"/>
        <c:dispUnits/>
      </c:valAx>
      <c:valAx>
        <c:axId val="29527339"/>
        <c:scaling>
          <c:orientation val="minMax"/>
        </c:scaling>
        <c:axPos val="l"/>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48020058"/>
        <c:crosses val="autoZero"/>
        <c:crossBetween val="midCat"/>
        <c:dispUnits/>
      </c:valAx>
      <c:spPr>
        <a:solidFill>
          <a:srgbClr val="C0C0C0"/>
        </a:solidFill>
        <a:ln w="12700">
          <a:solidFill>
            <a:srgbClr val="808080"/>
          </a:solidFill>
        </a:ln>
      </c:spPr>
    </c:plotArea>
    <c:legend>
      <c:legendPos val="r"/>
      <c:layout>
        <c:manualLayout>
          <c:xMode val="edge"/>
          <c:yMode val="edge"/>
          <c:x val="0.86325"/>
          <c:y val="0.45825"/>
          <c:w val="0.13"/>
          <c:h val="0.05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305"/>
          <c:w val="0.91075"/>
          <c:h val="0.8715"/>
        </c:manualLayout>
      </c:layout>
      <c:scatterChart>
        <c:scatterStyle val="smoothMarker"/>
        <c:varyColors val="0"/>
        <c:ser>
          <c:idx val="1"/>
          <c:order val="0"/>
          <c:tx>
            <c:v>Lower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Split'!$M$42:$M$47</c:f>
              <c:numCache/>
            </c:numRef>
          </c:xVal>
          <c:yVal>
            <c:numRef>
              <c:f>'2-Phase Split'!$N$42:$N$47</c:f>
              <c:numCache/>
            </c:numRef>
          </c:yVal>
          <c:smooth val="1"/>
        </c:ser>
        <c:ser>
          <c:idx val="0"/>
          <c:order val="1"/>
          <c:tx>
            <c:v>Average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Split'!$M$42:$M$47</c:f>
              <c:numCache/>
            </c:numRef>
          </c:xVal>
          <c:yVal>
            <c:numRef>
              <c:f>'2-Phase Split'!$O$42:$O$47</c:f>
              <c:numCache/>
            </c:numRef>
          </c:yVal>
          <c:smooth val="1"/>
        </c:ser>
        <c:ser>
          <c:idx val="2"/>
          <c:order val="2"/>
          <c:tx>
            <c:v>Upper</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Split'!$M$42:$M$47</c:f>
              <c:numCache/>
            </c:numRef>
          </c:xVal>
          <c:yVal>
            <c:numRef>
              <c:f>'2-Phase Split'!$P$42:$P$47</c:f>
              <c:numCache/>
            </c:numRef>
          </c:yVal>
          <c:smooth val="1"/>
        </c:ser>
        <c:axId val="64419460"/>
        <c:axId val="42904229"/>
      </c:scatterChart>
      <c:valAx>
        <c:axId val="64419460"/>
        <c:scaling>
          <c:logBase val="10"/>
          <c:orientation val="minMax"/>
          <c:max val="1000"/>
          <c:min val="10"/>
        </c:scaling>
        <c:axPos val="b"/>
        <c:title>
          <c:tx>
            <c:rich>
              <a:bodyPr vert="horz" rot="0" anchor="ctr"/>
              <a:lstStyle/>
              <a:p>
                <a:pPr algn="ctr">
                  <a:defRPr/>
                </a:pPr>
                <a:r>
                  <a:rPr lang="en-US" cap="none" sz="800" b="1" i="0" u="none" baseline="0">
                    <a:solidFill>
                      <a:srgbClr val="000000"/>
                    </a:solidFill>
                    <a:latin typeface="Arial"/>
                    <a:ea typeface="Arial"/>
                    <a:cs typeface="Arial"/>
                  </a:rPr>
                  <a:t>mass flux (kg/m2-s)</a:t>
                </a:r>
              </a:p>
            </c:rich>
          </c:tx>
          <c:layout>
            <c:manualLayout>
              <c:xMode val="factor"/>
              <c:yMode val="factor"/>
              <c:x val="0"/>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904229"/>
        <c:crosses val="autoZero"/>
        <c:crossBetween val="midCat"/>
        <c:dispUnits/>
      </c:valAx>
      <c:valAx>
        <c:axId val="42904229"/>
        <c:scaling>
          <c:logBase val="10"/>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frictional pressure gradient (Pa/m)</a:t>
                </a:r>
              </a:p>
            </c:rich>
          </c:tx>
          <c:layout>
            <c:manualLayout>
              <c:xMode val="factor"/>
              <c:yMode val="factor"/>
              <c:x val="-0.003"/>
              <c:y val="0.007"/>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41946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Comparison of Two-Phase Models
</a:t>
            </a:r>
            <a:r>
              <a:rPr lang="en-US" cap="none" sz="1000" b="0" i="0" u="none" baseline="0">
                <a:solidFill>
                  <a:srgbClr val="000000"/>
                </a:solidFill>
                <a:latin typeface="Arial"/>
                <a:ea typeface="Arial"/>
                <a:cs typeface="Arial"/>
              </a:rPr>
              <a:t>R12, 6 Bar pressure, 100 kg/m2-s in 50 mm smooth pipe</a:t>
            </a:r>
          </a:p>
        </c:rich>
      </c:tx>
      <c:layout>
        <c:manualLayout>
          <c:xMode val="factor"/>
          <c:yMode val="factor"/>
          <c:x val="0.00525"/>
          <c:y val="0"/>
        </c:manualLayout>
      </c:layout>
      <c:spPr>
        <a:noFill/>
        <a:ln>
          <a:noFill/>
        </a:ln>
      </c:spPr>
    </c:title>
    <c:plotArea>
      <c:layout>
        <c:manualLayout>
          <c:xMode val="edge"/>
          <c:yMode val="edge"/>
          <c:x val="0.04425"/>
          <c:y val="0.1575"/>
          <c:w val="0.77775"/>
          <c:h val="0.771"/>
        </c:manualLayout>
      </c:layout>
      <c:scatterChart>
        <c:scatterStyle val="smoothMarker"/>
        <c:varyColors val="0"/>
        <c:ser>
          <c:idx val="0"/>
          <c:order val="0"/>
          <c:tx>
            <c:v>Homogeneous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'2-Phase Lock'!$K$44:$K$54</c:f>
              <c:numCache/>
            </c:numRef>
          </c:xVal>
          <c:yVal>
            <c:numRef>
              <c:f>'2-Phase Lock'!$M$44:$M$54</c:f>
              <c:numCache/>
            </c:numRef>
          </c:yVal>
          <c:smooth val="1"/>
        </c:ser>
        <c:ser>
          <c:idx val="1"/>
          <c:order val="1"/>
          <c:tx>
            <c:v>Split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'2-Phase Lock'!$K$44:$K$54</c:f>
              <c:numCache/>
            </c:numRef>
          </c:xVal>
          <c:yVal>
            <c:numRef>
              <c:f>'2-Phase Lock'!$N$44:$N$54</c:f>
              <c:numCache/>
            </c:numRef>
          </c:yVal>
          <c:smooth val="1"/>
        </c:ser>
        <c:ser>
          <c:idx val="2"/>
          <c:order val="2"/>
          <c:tx>
            <c:v>Asymptotic</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'2-Phase Lock'!$K$44:$K$54</c:f>
              <c:numCache/>
            </c:numRef>
          </c:xVal>
          <c:yVal>
            <c:numRef>
              <c:f>'2-Phase Lock'!$O$44:$O$54</c:f>
              <c:numCache/>
            </c:numRef>
          </c:yVal>
          <c:smooth val="1"/>
        </c:ser>
        <c:ser>
          <c:idx val="3"/>
          <c:order val="3"/>
          <c:tx>
            <c:v>Lockhart</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xVal>
            <c:numRef>
              <c:f>'2-Phase Lock'!$K$44:$K$54</c:f>
              <c:numCache/>
            </c:numRef>
          </c:xVal>
          <c:yVal>
            <c:numRef>
              <c:f>'2-Phase Lock'!$P$44:$P$54</c:f>
              <c:numCache/>
            </c:numRef>
          </c:yVal>
          <c:smooth val="1"/>
        </c:ser>
        <c:axId val="50593742"/>
        <c:axId val="52690495"/>
      </c:scatterChart>
      <c:valAx>
        <c:axId val="50593742"/>
        <c:scaling>
          <c:orientation val="minMax"/>
          <c:max val="1"/>
        </c:scaling>
        <c:axPos val="b"/>
        <c:title>
          <c:tx>
            <c:rich>
              <a:bodyPr vert="horz" rot="0" anchor="ctr"/>
              <a:lstStyle/>
              <a:p>
                <a:pPr algn="ctr">
                  <a:defRPr/>
                </a:pPr>
                <a:r>
                  <a:rPr lang="en-US" cap="none" sz="1000" b="1" i="0" u="none" baseline="0">
                    <a:solidFill>
                      <a:srgbClr val="000000"/>
                    </a:solidFill>
                    <a:latin typeface="Arial"/>
                    <a:ea typeface="Arial"/>
                    <a:cs typeface="Arial"/>
                  </a:rPr>
                  <a:t>Quality</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690495"/>
        <c:crosses val="autoZero"/>
        <c:crossBetween val="midCat"/>
        <c:dispUnits/>
      </c:valAx>
      <c:valAx>
        <c:axId val="5269049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Pressure Drop, kPa per m</a:t>
                </a:r>
              </a:p>
            </c:rich>
          </c:tx>
          <c:layout>
            <c:manualLayout>
              <c:xMode val="factor"/>
              <c:yMode val="factor"/>
              <c:x val="-0.001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593742"/>
        <c:crosses val="autoZero"/>
        <c:crossBetween val="midCat"/>
        <c:dispUnits/>
      </c:valAx>
      <c:spPr>
        <a:solidFill>
          <a:srgbClr val="C0C0C0"/>
        </a:solidFill>
        <a:ln w="12700">
          <a:solidFill>
            <a:srgbClr val="808080"/>
          </a:solidFill>
        </a:ln>
      </c:spPr>
    </c:plotArea>
    <c:legend>
      <c:legendPos val="r"/>
      <c:layout>
        <c:manualLayout>
          <c:xMode val="edge"/>
          <c:yMode val="edge"/>
          <c:x val="0.83625"/>
          <c:y val="0.43375"/>
          <c:w val="0.16"/>
          <c:h val="0.176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Comparison of Two-Phase Models
</a:t>
            </a:r>
            <a:r>
              <a:rPr lang="en-US" cap="none" sz="1900" b="0" i="0" u="none" baseline="0">
                <a:solidFill>
                  <a:srgbClr val="000000"/>
                </a:solidFill>
                <a:latin typeface="Arial"/>
                <a:ea typeface="Arial"/>
                <a:cs typeface="Arial"/>
              </a:rPr>
              <a:t>R12, 6 Bar pressure, 1000 kg/m2-s in 50 mm smooth pipe</a:t>
            </a:r>
          </a:p>
        </c:rich>
      </c:tx>
      <c:layout>
        <c:manualLayout>
          <c:xMode val="factor"/>
          <c:yMode val="factor"/>
          <c:x val="-0.00125"/>
          <c:y val="0"/>
        </c:manualLayout>
      </c:layout>
      <c:spPr>
        <a:noFill/>
        <a:ln>
          <a:noFill/>
        </a:ln>
      </c:spPr>
    </c:title>
    <c:plotArea>
      <c:layout>
        <c:manualLayout>
          <c:xMode val="edge"/>
          <c:yMode val="edge"/>
          <c:x val="0.03775"/>
          <c:y val="0.13875"/>
          <c:w val="0.79575"/>
          <c:h val="0.80275"/>
        </c:manualLayout>
      </c:layout>
      <c:scatterChart>
        <c:scatterStyle val="smoothMarker"/>
        <c:varyColors val="0"/>
        <c:ser>
          <c:idx val="3"/>
          <c:order val="0"/>
          <c:tx>
            <c:v>Lockhart</c:v>
          </c:tx>
          <c:spPr>
            <a:ln w="25400">
              <a:solidFill>
                <a:srgbClr val="99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993300"/>
                </a:solidFill>
              </a:ln>
            </c:spPr>
          </c:marker>
          <c:xVal>
            <c:numRef>
              <c:f>'2-Phase Lock'!$K$66:$K$76</c:f>
              <c:numCache/>
            </c:numRef>
          </c:xVal>
          <c:yVal>
            <c:numRef>
              <c:f>'2-Phase Lock'!$P$66:$P$76</c:f>
              <c:numCache/>
            </c:numRef>
          </c:yVal>
          <c:smooth val="1"/>
        </c:ser>
        <c:ser>
          <c:idx val="2"/>
          <c:order val="1"/>
          <c:tx>
            <c:v>Asymptotic</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xVal>
            <c:numRef>
              <c:f>'2-Phase Lock'!$K$66:$K$76</c:f>
              <c:numCache/>
            </c:numRef>
          </c:xVal>
          <c:yVal>
            <c:numRef>
              <c:f>'2-Phase Lock'!$O$66:$O$76</c:f>
              <c:numCache/>
            </c:numRef>
          </c:yVal>
          <c:smooth val="1"/>
        </c:ser>
        <c:ser>
          <c:idx val="1"/>
          <c:order val="2"/>
          <c:tx>
            <c:v>Split</c:v>
          </c:tx>
          <c:spPr>
            <a:ln w="25400">
              <a:solidFill>
                <a:srgbClr val="333399"/>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3399"/>
              </a:solidFill>
              <a:ln>
                <a:solidFill>
                  <a:srgbClr val="333399"/>
                </a:solidFill>
              </a:ln>
            </c:spPr>
          </c:marker>
          <c:xVal>
            <c:numRef>
              <c:f>'2-Phase Lock'!$K$66:$K$76</c:f>
              <c:numCache/>
            </c:numRef>
          </c:xVal>
          <c:yVal>
            <c:numRef>
              <c:f>'2-Phase Lock'!$N$66:$N$76</c:f>
              <c:numCache/>
            </c:numRef>
          </c:yVal>
          <c:smooth val="1"/>
        </c:ser>
        <c:ser>
          <c:idx val="0"/>
          <c:order val="3"/>
          <c:tx>
            <c:v>Homogeneous</c:v>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3333"/>
              </a:solidFill>
              <a:ln>
                <a:solidFill>
                  <a:srgbClr val="333333"/>
                </a:solidFill>
              </a:ln>
            </c:spPr>
          </c:marker>
          <c:xVal>
            <c:numRef>
              <c:f>'2-Phase Lock'!$K$66:$K$76</c:f>
              <c:numCache/>
            </c:numRef>
          </c:xVal>
          <c:yVal>
            <c:numRef>
              <c:f>'2-Phase Lock'!$M$66:$M$76</c:f>
              <c:numCache/>
            </c:numRef>
          </c:yVal>
          <c:smooth val="1"/>
        </c:ser>
        <c:axId val="4452408"/>
        <c:axId val="40071673"/>
      </c:scatterChart>
      <c:valAx>
        <c:axId val="4452408"/>
        <c:scaling>
          <c:orientation val="minMax"/>
          <c:max val="1"/>
        </c:scaling>
        <c:axPos val="b"/>
        <c:title>
          <c:tx>
            <c:rich>
              <a:bodyPr vert="horz" rot="0" anchor="ctr"/>
              <a:lstStyle/>
              <a:p>
                <a:pPr algn="ctr">
                  <a:defRPr/>
                </a:pPr>
                <a:r>
                  <a:rPr lang="en-US" cap="none" sz="1900" b="1" i="0" u="none" baseline="0">
                    <a:solidFill>
                      <a:srgbClr val="000000"/>
                    </a:solidFill>
                    <a:latin typeface="Arial"/>
                    <a:ea typeface="Arial"/>
                    <a:cs typeface="Arial"/>
                  </a:rPr>
                  <a:t>Quality</a:t>
                </a:r>
              </a:p>
            </c:rich>
          </c:tx>
          <c:layout>
            <c:manualLayout>
              <c:xMode val="factor"/>
              <c:yMode val="factor"/>
              <c:x val="0"/>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071673"/>
        <c:crosses val="autoZero"/>
        <c:crossBetween val="midCat"/>
        <c:dispUnits/>
      </c:valAx>
      <c:valAx>
        <c:axId val="40071673"/>
        <c:scaling>
          <c:orientation val="minMax"/>
        </c:scaling>
        <c:axPos val="l"/>
        <c:title>
          <c:tx>
            <c:rich>
              <a:bodyPr vert="horz" rot="-5400000" anchor="ctr"/>
              <a:lstStyle/>
              <a:p>
                <a:pPr algn="ctr">
                  <a:defRPr/>
                </a:pPr>
                <a:r>
                  <a:rPr lang="en-US" cap="none" sz="1900" b="1" i="0" u="none" baseline="0">
                    <a:solidFill>
                      <a:srgbClr val="000000"/>
                    </a:solidFill>
                    <a:latin typeface="Arial"/>
                    <a:ea typeface="Arial"/>
                    <a:cs typeface="Arial"/>
                  </a:rPr>
                  <a:t>Frictional Pressure Drop, kPa per m</a:t>
                </a:r>
              </a:p>
            </c:rich>
          </c:tx>
          <c:layout>
            <c:manualLayout>
              <c:xMode val="factor"/>
              <c:yMode val="factor"/>
              <c:x val="-0.002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52408"/>
        <c:crosses val="autoZero"/>
        <c:crossBetween val="midCat"/>
        <c:dispUnits/>
      </c:valAx>
      <c:spPr>
        <a:noFill/>
        <a:ln w="12700">
          <a:solidFill>
            <a:srgbClr val="000000"/>
          </a:solidFill>
        </a:ln>
      </c:spPr>
    </c:plotArea>
    <c:legend>
      <c:legendPos val="r"/>
      <c:layout>
        <c:manualLayout>
          <c:xMode val="edge"/>
          <c:yMode val="edge"/>
          <c:x val="0.84125"/>
          <c:y val="0.448"/>
          <c:w val="0.156"/>
          <c:h val="0.14425"/>
        </c:manualLayout>
      </c:layout>
      <c:overlay val="0"/>
      <c:spPr>
        <a:solidFill>
          <a:srgbClr val="FFFFFF"/>
        </a:solidFill>
        <a:ln w="3175">
          <a:solidFill>
            <a:srgbClr val="000000"/>
          </a:solidFill>
        </a:ln>
      </c:spPr>
      <c:txPr>
        <a:bodyPr vert="horz" rot="0"/>
        <a:lstStyle/>
        <a:p>
          <a:pPr>
            <a:defRPr lang="en-US" cap="none" sz="17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Comparison of Two-Phase Models
</a:t>
            </a:r>
            <a:r>
              <a:rPr lang="en-US" cap="none" sz="1000" b="0" i="0" u="none" baseline="0">
                <a:solidFill>
                  <a:srgbClr val="000000"/>
                </a:solidFill>
                <a:latin typeface="Arial"/>
                <a:ea typeface="Arial"/>
                <a:cs typeface="Arial"/>
              </a:rPr>
              <a:t>R12, 6 Bar pressure, 5000 kg/m2-s in 50 mm smooth pipe</a:t>
            </a:r>
          </a:p>
        </c:rich>
      </c:tx>
      <c:layout>
        <c:manualLayout>
          <c:xMode val="factor"/>
          <c:yMode val="factor"/>
          <c:x val="0.00525"/>
          <c:y val="0"/>
        </c:manualLayout>
      </c:layout>
      <c:spPr>
        <a:noFill/>
        <a:ln>
          <a:noFill/>
        </a:ln>
      </c:spPr>
    </c:title>
    <c:plotArea>
      <c:layout>
        <c:manualLayout>
          <c:xMode val="edge"/>
          <c:yMode val="edge"/>
          <c:x val="0.044"/>
          <c:y val="0.157"/>
          <c:w val="0.778"/>
          <c:h val="0.77175"/>
        </c:manualLayout>
      </c:layout>
      <c:scatterChart>
        <c:scatterStyle val="smoothMarker"/>
        <c:varyColors val="0"/>
        <c:ser>
          <c:idx val="0"/>
          <c:order val="0"/>
          <c:tx>
            <c:v>Homogeneous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'2-Phase Lock'!$K$88:$K$98</c:f>
              <c:numCache/>
            </c:numRef>
          </c:xVal>
          <c:yVal>
            <c:numRef>
              <c:f>'2-Phase Lock'!$M$88:$M$98</c:f>
              <c:numCache/>
            </c:numRef>
          </c:yVal>
          <c:smooth val="1"/>
        </c:ser>
        <c:ser>
          <c:idx val="1"/>
          <c:order val="1"/>
          <c:tx>
            <c:v>Split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'2-Phase Lock'!$K$88:$K$98</c:f>
              <c:numCache/>
            </c:numRef>
          </c:xVal>
          <c:yVal>
            <c:numRef>
              <c:f>'2-Phase Lock'!$N$88:$N$98</c:f>
              <c:numCache/>
            </c:numRef>
          </c:yVal>
          <c:smooth val="1"/>
        </c:ser>
        <c:ser>
          <c:idx val="2"/>
          <c:order val="2"/>
          <c:tx>
            <c:v>Asymptotic</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'2-Phase Lock'!$K$88:$K$98</c:f>
              <c:numCache/>
            </c:numRef>
          </c:xVal>
          <c:yVal>
            <c:numRef>
              <c:f>'2-Phase Lock'!$O$88:$O$98</c:f>
              <c:numCache/>
            </c:numRef>
          </c:yVal>
          <c:smooth val="1"/>
        </c:ser>
        <c:ser>
          <c:idx val="3"/>
          <c:order val="3"/>
          <c:tx>
            <c:v>Lockhart</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xVal>
            <c:numRef>
              <c:f>'2-Phase Lock'!$K$88:$K$98</c:f>
              <c:numCache/>
            </c:numRef>
          </c:xVal>
          <c:yVal>
            <c:numRef>
              <c:f>'2-Phase Lock'!$P$88:$P$98</c:f>
              <c:numCache/>
            </c:numRef>
          </c:yVal>
          <c:smooth val="1"/>
        </c:ser>
        <c:axId val="25100738"/>
        <c:axId val="24580051"/>
      </c:scatterChart>
      <c:valAx>
        <c:axId val="25100738"/>
        <c:scaling>
          <c:orientation val="minMax"/>
          <c:max val="1"/>
        </c:scaling>
        <c:axPos val="b"/>
        <c:title>
          <c:tx>
            <c:rich>
              <a:bodyPr vert="horz" rot="0" anchor="ctr"/>
              <a:lstStyle/>
              <a:p>
                <a:pPr algn="ctr">
                  <a:defRPr/>
                </a:pPr>
                <a:r>
                  <a:rPr lang="en-US" cap="none" sz="1000" b="1" i="0" u="none" baseline="0">
                    <a:solidFill>
                      <a:srgbClr val="000000"/>
                    </a:solidFill>
                    <a:latin typeface="Arial"/>
                    <a:ea typeface="Arial"/>
                    <a:cs typeface="Arial"/>
                  </a:rPr>
                  <a:t>Quality</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580051"/>
        <c:crosses val="autoZero"/>
        <c:crossBetween val="midCat"/>
        <c:dispUnits/>
      </c:valAx>
      <c:valAx>
        <c:axId val="2458005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Pressure Drop, kPa per m</a:t>
                </a:r>
              </a:p>
            </c:rich>
          </c:tx>
          <c:layout>
            <c:manualLayout>
              <c:xMode val="factor"/>
              <c:yMode val="factor"/>
              <c:x val="-0.001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100738"/>
        <c:crosses val="autoZero"/>
        <c:crossBetween val="midCat"/>
        <c:dispUnits/>
      </c:valAx>
      <c:spPr>
        <a:solidFill>
          <a:srgbClr val="C0C0C0"/>
        </a:solidFill>
        <a:ln w="12700">
          <a:solidFill>
            <a:srgbClr val="808080"/>
          </a:solidFill>
        </a:ln>
      </c:spPr>
    </c:plotArea>
    <c:legend>
      <c:legendPos val="r"/>
      <c:layout>
        <c:manualLayout>
          <c:xMode val="edge"/>
          <c:yMode val="edge"/>
          <c:x val="0.8365"/>
          <c:y val="0.434"/>
          <c:w val="0.1595"/>
          <c:h val="0.17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Comparison of Two-Phase Models
</a:t>
            </a:r>
            <a:r>
              <a:rPr lang="en-US" cap="none" sz="1900" b="0" i="0" u="none" baseline="0">
                <a:solidFill>
                  <a:srgbClr val="000000"/>
                </a:solidFill>
                <a:latin typeface="Arial"/>
                <a:ea typeface="Arial"/>
                <a:cs typeface="Arial"/>
              </a:rPr>
              <a:t>R22, 9.1 Bar pressure, 0.5 Quality in 10 mm smooth tube</a:t>
            </a:r>
          </a:p>
        </c:rich>
      </c:tx>
      <c:layout>
        <c:manualLayout>
          <c:xMode val="factor"/>
          <c:yMode val="factor"/>
          <c:x val="-0.00075"/>
          <c:y val="0"/>
        </c:manualLayout>
      </c:layout>
      <c:spPr>
        <a:noFill/>
        <a:ln>
          <a:noFill/>
        </a:ln>
      </c:spPr>
    </c:title>
    <c:plotArea>
      <c:layout>
        <c:manualLayout>
          <c:xMode val="edge"/>
          <c:yMode val="edge"/>
          <c:x val="0.03775"/>
          <c:y val="0.1395"/>
          <c:w val="0.769"/>
          <c:h val="0.80175"/>
        </c:manualLayout>
      </c:layout>
      <c:scatterChart>
        <c:scatterStyle val="smoothMarker"/>
        <c:varyColors val="0"/>
        <c:ser>
          <c:idx val="3"/>
          <c:order val="0"/>
          <c:tx>
            <c:v>Lockhart</c:v>
          </c:tx>
          <c:spPr>
            <a:ln w="25400">
              <a:solidFill>
                <a:srgbClr val="99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993300"/>
                </a:solidFill>
              </a:ln>
            </c:spPr>
          </c:marker>
          <c:xVal>
            <c:numRef>
              <c:f>'2-Phase Lock'!$J$55:$J$65</c:f>
              <c:numCache/>
            </c:numRef>
          </c:xVal>
          <c:yVal>
            <c:numRef>
              <c:f>'2-Phase Lock'!$P$55:$P$65</c:f>
              <c:numCache/>
            </c:numRef>
          </c:yVal>
          <c:smooth val="1"/>
        </c:ser>
        <c:ser>
          <c:idx val="2"/>
          <c:order val="1"/>
          <c:tx>
            <c:v>Asymptotic</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xVal>
            <c:numRef>
              <c:f>'2-Phase Lock'!$J$55:$J$65</c:f>
              <c:numCache/>
            </c:numRef>
          </c:xVal>
          <c:yVal>
            <c:numRef>
              <c:f>'2-Phase Lock'!$O$55:$O$65</c:f>
              <c:numCache/>
            </c:numRef>
          </c:yVal>
          <c:smooth val="1"/>
        </c:ser>
        <c:ser>
          <c:idx val="1"/>
          <c:order val="2"/>
          <c:tx>
            <c:v>Split</c:v>
          </c:tx>
          <c:spPr>
            <a:ln w="25400">
              <a:solidFill>
                <a:srgbClr val="333399"/>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99"/>
              </a:solidFill>
              <a:ln>
                <a:solidFill>
                  <a:srgbClr val="333399"/>
                </a:solidFill>
              </a:ln>
            </c:spPr>
          </c:marker>
          <c:xVal>
            <c:numRef>
              <c:f>'2-Phase Lock'!$J$55:$J$65</c:f>
              <c:numCache/>
            </c:numRef>
          </c:xVal>
          <c:yVal>
            <c:numRef>
              <c:f>'2-Phase Lock'!$N$55:$N$65</c:f>
              <c:numCache/>
            </c:numRef>
          </c:yVal>
          <c:smooth val="1"/>
        </c:ser>
        <c:ser>
          <c:idx val="0"/>
          <c:order val="3"/>
          <c:tx>
            <c:v>Homogenous</c:v>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3333"/>
              </a:solidFill>
              <a:ln>
                <a:solidFill>
                  <a:srgbClr val="333333"/>
                </a:solidFill>
              </a:ln>
            </c:spPr>
          </c:marker>
          <c:xVal>
            <c:numRef>
              <c:f>'2-Phase Lock'!$J$55:$J$65</c:f>
              <c:numCache/>
            </c:numRef>
          </c:xVal>
          <c:yVal>
            <c:numRef>
              <c:f>'2-Phase Lock'!$M$55:$M$65</c:f>
              <c:numCache/>
            </c:numRef>
          </c:yVal>
          <c:smooth val="1"/>
        </c:ser>
        <c:ser>
          <c:idx val="4"/>
          <c:order val="4"/>
          <c:tx>
            <c:v>Hashizume's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xVal>
            <c:numRef>
              <c:f>'2-Phase Lock'!$Y$58:$Y$61</c:f>
              <c:numCache/>
            </c:numRef>
          </c:xVal>
          <c:yVal>
            <c:numRef>
              <c:f>'2-Phase Lock'!$Z$58:$Z$61</c:f>
              <c:numCache/>
            </c:numRef>
          </c:yVal>
          <c:smooth val="1"/>
        </c:ser>
        <c:axId val="19893868"/>
        <c:axId val="44827085"/>
      </c:scatterChart>
      <c:valAx>
        <c:axId val="19893868"/>
        <c:scaling>
          <c:logBase val="10"/>
          <c:orientation val="minMax"/>
          <c:max val="1000"/>
          <c:min val="10"/>
        </c:scaling>
        <c:axPos val="b"/>
        <c:title>
          <c:tx>
            <c:rich>
              <a:bodyPr vert="horz" rot="0" anchor="ctr"/>
              <a:lstStyle/>
              <a:p>
                <a:pPr algn="ctr">
                  <a:defRPr/>
                </a:pPr>
                <a:r>
                  <a:rPr lang="en-US" cap="none" sz="1900" b="1" i="0" u="none" baseline="0">
                    <a:solidFill>
                      <a:srgbClr val="000000"/>
                    </a:solidFill>
                    <a:latin typeface="Arial"/>
                    <a:ea typeface="Arial"/>
                    <a:cs typeface="Arial"/>
                  </a:rPr>
                  <a:t>Mass Flux, kg/m2-s</a:t>
                </a:r>
              </a:p>
            </c:rich>
          </c:tx>
          <c:layout>
            <c:manualLayout>
              <c:xMode val="factor"/>
              <c:yMode val="factor"/>
              <c:x val="0"/>
              <c:y val="0.000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44827085"/>
        <c:crossesAt val="0.001"/>
        <c:crossBetween val="midCat"/>
        <c:dispUnits/>
        <c:majorUnit val="10"/>
        <c:minorUnit val="10"/>
      </c:valAx>
      <c:valAx>
        <c:axId val="44827085"/>
        <c:scaling>
          <c:logBase val="10"/>
          <c:orientation val="minMax"/>
          <c:max val="100"/>
          <c:min val="0.001"/>
        </c:scaling>
        <c:axPos val="l"/>
        <c:title>
          <c:tx>
            <c:rich>
              <a:bodyPr vert="horz" rot="-5400000" anchor="ctr"/>
              <a:lstStyle/>
              <a:p>
                <a:pPr algn="ctr">
                  <a:defRPr/>
                </a:pPr>
                <a:r>
                  <a:rPr lang="en-US" cap="none" sz="1900" b="1" i="0" u="none" baseline="0">
                    <a:solidFill>
                      <a:srgbClr val="000000"/>
                    </a:solidFill>
                    <a:latin typeface="Arial"/>
                    <a:ea typeface="Arial"/>
                    <a:cs typeface="Arial"/>
                  </a:rPr>
                  <a:t>Pressure Drop, kPa per m</a:t>
                </a:r>
              </a:p>
            </c:rich>
          </c:tx>
          <c:layout>
            <c:manualLayout>
              <c:xMode val="factor"/>
              <c:yMode val="factor"/>
              <c:x val="-0.0025"/>
              <c:y val="-0.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893868"/>
        <c:crossesAt val="0.001"/>
        <c:crossBetween val="midCat"/>
        <c:dispUnits/>
        <c:majorUnit val="10"/>
      </c:valAx>
      <c:spPr>
        <a:noFill/>
        <a:ln w="12700">
          <a:solidFill>
            <a:srgbClr val="000000"/>
          </a:solidFill>
        </a:ln>
      </c:spPr>
    </c:plotArea>
    <c:legend>
      <c:legendPos val="r"/>
      <c:layout>
        <c:manualLayout>
          <c:xMode val="edge"/>
          <c:yMode val="edge"/>
          <c:x val="0.81375"/>
          <c:y val="0.42925"/>
          <c:w val="0.1835"/>
          <c:h val="0.183"/>
        </c:manualLayout>
      </c:layout>
      <c:overlay val="0"/>
      <c:spPr>
        <a:solidFill>
          <a:srgbClr val="FFFFFF"/>
        </a:solidFill>
        <a:ln w="3175">
          <a:solidFill>
            <a:srgbClr val="000000"/>
          </a:solidFill>
        </a:ln>
      </c:spPr>
      <c:txPr>
        <a:bodyPr vert="horz" rot="0"/>
        <a:lstStyle/>
        <a:p>
          <a:pPr>
            <a:defRPr lang="en-US" cap="none" sz="17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Pressure Drop Through a DN Elbow</a:t>
            </a:r>
          </a:p>
        </c:rich>
      </c:tx>
      <c:layout>
        <c:manualLayout>
          <c:xMode val="factor"/>
          <c:yMode val="factor"/>
          <c:x val="0.00775"/>
          <c:y val="0"/>
        </c:manualLayout>
      </c:layout>
      <c:spPr>
        <a:noFill/>
        <a:ln>
          <a:noFill/>
        </a:ln>
      </c:spPr>
    </c:title>
    <c:plotArea>
      <c:layout>
        <c:manualLayout>
          <c:xMode val="edge"/>
          <c:yMode val="edge"/>
          <c:x val="0.013"/>
          <c:y val="0.1095"/>
          <c:w val="0.859"/>
          <c:h val="0.8695"/>
        </c:manualLayout>
      </c:layout>
      <c:scatterChart>
        <c:scatterStyle val="smoothMarker"/>
        <c:varyColors val="0"/>
        <c:ser>
          <c:idx val="0"/>
          <c:order val="0"/>
          <c:tx>
            <c:v>Velocity</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'2-Phase PD Elbow'!$B$49:$B$79</c:f>
              <c:numCache/>
            </c:numRef>
          </c:xVal>
          <c:yVal>
            <c:numRef>
              <c:f>'2-Phase PD Elbow'!$G$49:$G$79</c:f>
              <c:numCache/>
            </c:numRef>
          </c:yVal>
          <c:smooth val="1"/>
        </c:ser>
        <c:axId val="790582"/>
        <c:axId val="7115239"/>
      </c:scatterChart>
      <c:valAx>
        <c:axId val="790582"/>
        <c:scaling>
          <c:orientation val="minMax"/>
          <c:max val="0.3"/>
        </c:scaling>
        <c:axPos val="b"/>
        <c:delete val="0"/>
        <c:numFmt formatCode="General" sourceLinked="1"/>
        <c:majorTickMark val="out"/>
        <c:minorTickMark val="none"/>
        <c:tickLblPos val="nextTo"/>
        <c:spPr>
          <a:ln w="3175">
            <a:solidFill>
              <a:srgbClr val="000000"/>
            </a:solidFill>
          </a:ln>
        </c:spPr>
        <c:crossAx val="7115239"/>
        <c:crosses val="autoZero"/>
        <c:crossBetween val="midCat"/>
        <c:dispUnits/>
      </c:valAx>
      <c:valAx>
        <c:axId val="711523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90582"/>
        <c:crosses val="autoZero"/>
        <c:crossBetween val="midCat"/>
        <c:dispUnits/>
      </c:valAx>
      <c:spPr>
        <a:solidFill>
          <a:srgbClr val="C0C0C0"/>
        </a:solidFill>
        <a:ln w="12700">
          <a:solidFill>
            <a:srgbClr val="808080"/>
          </a:solidFill>
        </a:ln>
      </c:spPr>
    </c:plotArea>
    <c:legend>
      <c:legendPos val="r"/>
      <c:layout>
        <c:manualLayout>
          <c:xMode val="edge"/>
          <c:yMode val="edge"/>
          <c:x val="0.88675"/>
          <c:y val="0.501"/>
          <c:w val="0.108"/>
          <c:h val="0.04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chemengsoftware.com/" TargetMode="External" /><Relationship Id="rId3" Type="http://schemas.openxmlformats.org/officeDocument/2006/relationships/hyperlink" Target="http://www.chemengsoftware.com/" TargetMode="External" /><Relationship Id="rId4" Type="http://schemas.openxmlformats.org/officeDocument/2006/relationships/image" Target="../media/image1.png" /><Relationship Id="rId5" Type="http://schemas.openxmlformats.org/officeDocument/2006/relationships/hyperlink" Target="http://store.elsevier.com/product.jsp?isbn=9780123877857&amp;_requestid=96716" TargetMode="External" /><Relationship Id="rId6" Type="http://schemas.openxmlformats.org/officeDocument/2006/relationships/hyperlink" Target="http://store.elsevier.com/product.jsp?isbn=9780123877857&amp;_requestid=96716"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1.xml" /><Relationship Id="rId3" Type="http://schemas.openxmlformats.org/officeDocument/2006/relationships/image" Target="../media/image4.png" /><Relationship Id="rId4" Type="http://schemas.openxmlformats.org/officeDocument/2006/relationships/chart" Target="/xl/charts/chart2.xml" /><Relationship Id="rId5" Type="http://schemas.openxmlformats.org/officeDocument/2006/relationships/image" Target="../media/image5.png" /><Relationship Id="rId6" Type="http://schemas.openxmlformats.org/officeDocument/2006/relationships/chart" Target="/xl/charts/chart3.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7.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16</xdr:row>
      <xdr:rowOff>133350</xdr:rowOff>
    </xdr:from>
    <xdr:ext cx="5448300" cy="1428750"/>
    <xdr:sp>
      <xdr:nvSpPr>
        <xdr:cNvPr id="1" name="Text Box 1"/>
        <xdr:cNvSpPr txBox="1">
          <a:spLocks noChangeArrowheads="1"/>
        </xdr:cNvSpPr>
      </xdr:nvSpPr>
      <xdr:spPr>
        <a:xfrm>
          <a:off x="47625" y="2724150"/>
          <a:ext cx="5448300" cy="14287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 NReSI</a:t>
          </a:r>
          <a:r>
            <a:rPr lang="en-US" cap="none" sz="1000" b="0" i="0" u="none" baseline="0">
              <a:solidFill>
                <a:srgbClr val="000000"/>
              </a:solidFill>
              <a:latin typeface="Arial"/>
              <a:ea typeface="Arial"/>
              <a:cs typeface="Arial"/>
            </a:rPr>
            <a:t>(W, mu, d, Optional ro, Optional Tin, Optional Mw, Optional p)
</a:t>
          </a:r>
          <a:r>
            <a:rPr lang="en-US" cap="none" sz="1000" b="0" i="0" u="none" baseline="0">
              <a:solidFill>
                <a:srgbClr val="000000"/>
              </a:solidFill>
              <a:latin typeface="Arial"/>
              <a:ea typeface="Arial"/>
              <a:cs typeface="Arial"/>
            </a:rPr>
            <a:t>' W = Flowrate in kg/h
</a:t>
          </a:r>
          <a:r>
            <a:rPr lang="en-US" cap="none" sz="1000" b="0" i="0" u="none" baseline="0">
              <a:solidFill>
                <a:srgbClr val="000000"/>
              </a:solidFill>
              <a:latin typeface="Arial"/>
              <a:ea typeface="Arial"/>
              <a:cs typeface="Arial"/>
            </a:rPr>
            <a:t>' mu = Viscosity in mPa-s
</a:t>
          </a:r>
          <a:r>
            <a:rPr lang="en-US" cap="none" sz="1000" b="0" i="0" u="none" baseline="0">
              <a:solidFill>
                <a:srgbClr val="000000"/>
              </a:solidFill>
              <a:latin typeface="Arial"/>
              <a:ea typeface="Arial"/>
              <a:cs typeface="Arial"/>
            </a:rPr>
            <a:t>' d = PipeID in mm
</a:t>
          </a:r>
          <a:r>
            <a:rPr lang="en-US" cap="none" sz="1000" b="0" i="0" u="none" baseline="0">
              <a:solidFill>
                <a:srgbClr val="000000"/>
              </a:solidFill>
              <a:latin typeface="Arial"/>
              <a:ea typeface="Arial"/>
              <a:cs typeface="Arial"/>
            </a:rPr>
            <a:t>' ro = density in kg/m3 (required for liquid)
</a:t>
          </a:r>
          <a:r>
            <a:rPr lang="en-US" cap="none" sz="1000" b="0" i="0" u="none" baseline="0">
              <a:solidFill>
                <a:srgbClr val="000000"/>
              </a:solidFill>
              <a:latin typeface="Arial"/>
              <a:ea typeface="Arial"/>
              <a:cs typeface="Arial"/>
            </a:rPr>
            <a:t>' Tin = temperature, deg C (required for gas) - default 20 deg C
</a:t>
          </a:r>
          <a:r>
            <a:rPr lang="en-US" cap="none" sz="1000" b="0" i="0" u="none" baseline="0">
              <a:solidFill>
                <a:srgbClr val="000000"/>
              </a:solidFill>
              <a:latin typeface="Arial"/>
              <a:ea typeface="Arial"/>
              <a:cs typeface="Arial"/>
            </a:rPr>
            <a:t>' Mw = molecular weight (required for gas) - default 29
</a:t>
          </a:r>
          <a:r>
            <a:rPr lang="en-US" cap="none" sz="1000" b="0" i="0" u="none" baseline="0">
              <a:solidFill>
                <a:srgbClr val="000000"/>
              </a:solidFill>
              <a:latin typeface="Arial"/>
              <a:ea typeface="Arial"/>
              <a:cs typeface="Arial"/>
            </a:rPr>
            <a:t>' p = pressure, kPa (required for gas) - default 1000 kPa
</a:t>
          </a:r>
        </a:p>
      </xdr:txBody>
    </xdr:sp>
    <xdr:clientData/>
  </xdr:oneCellAnchor>
  <xdr:oneCellAnchor>
    <xdr:from>
      <xdr:col>0</xdr:col>
      <xdr:colOff>47625</xdr:colOff>
      <xdr:row>26</xdr:row>
      <xdr:rowOff>0</xdr:rowOff>
    </xdr:from>
    <xdr:ext cx="5448300" cy="609600"/>
    <xdr:sp>
      <xdr:nvSpPr>
        <xdr:cNvPr id="2" name="Text Box 2"/>
        <xdr:cNvSpPr txBox="1">
          <a:spLocks noChangeArrowheads="1"/>
        </xdr:cNvSpPr>
      </xdr:nvSpPr>
      <xdr:spPr>
        <a:xfrm>
          <a:off x="47625" y="4210050"/>
          <a:ext cx="5448300" cy="6096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 FrictionSI</a:t>
          </a:r>
          <a:r>
            <a:rPr lang="en-US" cap="none" sz="1000" b="0" i="0" u="none" baseline="0">
              <a:solidFill>
                <a:srgbClr val="000000"/>
              </a:solidFill>
              <a:latin typeface="Arial"/>
              <a:ea typeface="Arial"/>
              <a:cs typeface="Arial"/>
            </a:rPr>
            <a:t>(epsilon, NRe, d)
</a:t>
          </a:r>
          <a:r>
            <a:rPr lang="en-US" cap="none" sz="1000" b="0" i="0" u="none" baseline="0">
              <a:solidFill>
                <a:srgbClr val="000000"/>
              </a:solidFill>
              <a:latin typeface="Arial"/>
              <a:ea typeface="Arial"/>
              <a:cs typeface="Arial"/>
            </a:rPr>
            <a:t>' epsilon = Surface roughness is in units m
</a:t>
          </a:r>
          <a:r>
            <a:rPr lang="en-US" cap="none" sz="1000" b="0" i="0" u="none" baseline="0">
              <a:solidFill>
                <a:srgbClr val="000000"/>
              </a:solidFill>
              <a:latin typeface="Arial"/>
              <a:ea typeface="Arial"/>
              <a:cs typeface="Arial"/>
            </a:rPr>
            <a:t>' d = PipeID is in units mm
</a:t>
          </a:r>
        </a:p>
      </xdr:txBody>
    </xdr:sp>
    <xdr:clientData/>
  </xdr:oneCellAnchor>
  <xdr:oneCellAnchor>
    <xdr:from>
      <xdr:col>0</xdr:col>
      <xdr:colOff>47625</xdr:colOff>
      <xdr:row>30</xdr:row>
      <xdr:rowOff>19050</xdr:rowOff>
    </xdr:from>
    <xdr:ext cx="6753225" cy="2905125"/>
    <xdr:sp>
      <xdr:nvSpPr>
        <xdr:cNvPr id="3" name="Text Box 3"/>
        <xdr:cNvSpPr txBox="1">
          <a:spLocks noChangeArrowheads="1"/>
        </xdr:cNvSpPr>
      </xdr:nvSpPr>
      <xdr:spPr>
        <a:xfrm>
          <a:off x="47625" y="4876800"/>
          <a:ext cx="6753225" cy="29051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 PDSI</a:t>
          </a:r>
          <a:r>
            <a:rPr lang="en-US" cap="none" sz="1000" b="0" i="0" u="none" baseline="0">
              <a:solidFill>
                <a:srgbClr val="000000"/>
              </a:solidFill>
              <a:latin typeface="Arial"/>
              <a:ea typeface="Arial"/>
              <a:cs typeface="Arial"/>
            </a:rPr>
            <a:t>(W, Pin, Pout, d, L, f, Optional Density, Optional Tin, Optional Mw, Optional Gamma, Optional Isothermal)
</a:t>
          </a:r>
          <a:r>
            <a:rPr lang="en-US" cap="none" sz="1000" b="0" i="0" u="none" baseline="0">
              <a:solidFill>
                <a:srgbClr val="000000"/>
              </a:solidFill>
              <a:latin typeface="Arial"/>
              <a:ea typeface="Arial"/>
              <a:cs typeface="Arial"/>
            </a:rPr>
            <a:t>' Pressure Drop due to friction in a round pipe (adiabatic for compressible flow)
</a:t>
          </a:r>
          <a:r>
            <a:rPr lang="en-US" cap="none" sz="1000" b="0" i="0" u="none" baseline="0">
              <a:solidFill>
                <a:srgbClr val="000000"/>
              </a:solidFill>
              <a:latin typeface="Arial"/>
              <a:ea typeface="Arial"/>
              <a:cs typeface="Arial"/>
            </a:rPr>
            <a:t>' with the following arguments
</a:t>
          </a:r>
          <a:r>
            <a:rPr lang="en-US" cap="none" sz="1000" b="0" i="0" u="none" baseline="0">
              <a:solidFill>
                <a:srgbClr val="000000"/>
              </a:solidFill>
              <a:latin typeface="Arial"/>
              <a:ea typeface="Arial"/>
              <a:cs typeface="Arial"/>
            </a:rPr>
            <a:t>' Specify two of the following three; function will compute the third
</a:t>
          </a:r>
          <a:r>
            <a:rPr lang="en-US" cap="none" sz="1000" b="0" i="0" u="none" baseline="0">
              <a:solidFill>
                <a:srgbClr val="000000"/>
              </a:solidFill>
              <a:latin typeface="Arial"/>
              <a:ea typeface="Arial"/>
              <a:cs typeface="Arial"/>
            </a:rPr>
            <a:t>'   W = mass flow rate, kg/h
</a:t>
          </a:r>
          <a:r>
            <a:rPr lang="en-US" cap="none" sz="1000" b="0" i="0" u="none" baseline="0">
              <a:solidFill>
                <a:srgbClr val="000000"/>
              </a:solidFill>
              <a:latin typeface="Arial"/>
              <a:ea typeface="Arial"/>
              <a:cs typeface="Arial"/>
            </a:rPr>
            <a:t>'   Pin = inlet, or upstream, pressure, kPa
</a:t>
          </a:r>
          <a:r>
            <a:rPr lang="en-US" cap="none" sz="1000" b="0" i="0" u="none" baseline="0">
              <a:solidFill>
                <a:srgbClr val="000000"/>
              </a:solidFill>
              <a:latin typeface="Arial"/>
              <a:ea typeface="Arial"/>
              <a:cs typeface="Arial"/>
            </a:rPr>
            <a:t>'   Pout = outlet, or downstream pressure, kPa
</a:t>
          </a:r>
          <a:r>
            <a:rPr lang="en-US" cap="none" sz="1000" b="0" i="0" u="none" baseline="0">
              <a:solidFill>
                <a:srgbClr val="000000"/>
              </a:solidFill>
              <a:latin typeface="Arial"/>
              <a:ea typeface="Arial"/>
              <a:cs typeface="Arial"/>
            </a:rPr>
            <a:t>' Pipe properties
</a:t>
          </a:r>
          <a:r>
            <a:rPr lang="en-US" cap="none" sz="1000" b="0" i="0" u="none" baseline="0">
              <a:solidFill>
                <a:srgbClr val="000000"/>
              </a:solidFill>
              <a:latin typeface="Arial"/>
              <a:ea typeface="Arial"/>
              <a:cs typeface="Arial"/>
            </a:rPr>
            <a:t>'   d = pipe diameter, mm
</a:t>
          </a:r>
          <a:r>
            <a:rPr lang="en-US" cap="none" sz="1000" b="0" i="0" u="none" baseline="0">
              <a:solidFill>
                <a:srgbClr val="000000"/>
              </a:solidFill>
              <a:latin typeface="Arial"/>
              <a:ea typeface="Arial"/>
              <a:cs typeface="Arial"/>
            </a:rPr>
            <a:t>'   L = pipe length, m
</a:t>
          </a:r>
          <a:r>
            <a:rPr lang="en-US" cap="none" sz="1000" b="0" i="0" u="none" baseline="0">
              <a:solidFill>
                <a:srgbClr val="000000"/>
              </a:solidFill>
              <a:latin typeface="Arial"/>
              <a:ea typeface="Arial"/>
              <a:cs typeface="Arial"/>
            </a:rPr>
            <a:t>'   f = Darcy friction factor
</a:t>
          </a:r>
          <a:r>
            <a:rPr lang="en-US" cap="none" sz="1000" b="0" i="0" u="none" baseline="0">
              <a:solidFill>
                <a:srgbClr val="000000"/>
              </a:solidFill>
              <a:latin typeface="Arial"/>
              <a:ea typeface="Arial"/>
              <a:cs typeface="Arial"/>
            </a:rPr>
            <a:t>' Fluid properties
</a:t>
          </a:r>
          <a:r>
            <a:rPr lang="en-US" cap="none" sz="1000" b="0" i="0" u="none" baseline="0">
              <a:solidFill>
                <a:srgbClr val="000000"/>
              </a:solidFill>
              <a:latin typeface="Arial"/>
              <a:ea typeface="Arial"/>
              <a:cs typeface="Arial"/>
            </a:rPr>
            <a:t>'   Density (optional) -- specify for liquids, kg/m3
</a:t>
          </a:r>
          <a:r>
            <a:rPr lang="en-US" cap="none" sz="1000" b="0" i="0" u="none" baseline="0">
              <a:solidFill>
                <a:srgbClr val="000000"/>
              </a:solidFill>
              <a:latin typeface="Arial"/>
              <a:ea typeface="Arial"/>
              <a:cs typeface="Arial"/>
            </a:rPr>
            <a:t>'   Tin (optional) -- specify for gas, inlet temperature, deg C (default to 20)
</a:t>
          </a:r>
          <a:r>
            <a:rPr lang="en-US" cap="none" sz="1000" b="0" i="0" u="none" baseline="0">
              <a:solidFill>
                <a:srgbClr val="000000"/>
              </a:solidFill>
              <a:latin typeface="Arial"/>
              <a:ea typeface="Arial"/>
              <a:cs typeface="Arial"/>
            </a:rPr>
            <a:t>'   Mw (optional) -- specify for gas, molecular weight (default to 29 for air)
</a:t>
          </a:r>
          <a:r>
            <a:rPr lang="en-US" cap="none" sz="1000" b="0" i="0" u="none" baseline="0">
              <a:solidFill>
                <a:srgbClr val="000000"/>
              </a:solidFill>
              <a:latin typeface="Arial"/>
              <a:ea typeface="Arial"/>
              <a:cs typeface="Arial"/>
            </a:rPr>
            <a:t>'   Gamma (optional) -- specify for gas, ratio of Cp/Cv (default to 1.4)
</a:t>
          </a:r>
          <a:r>
            <a:rPr lang="en-US" cap="none" sz="1000" b="0" i="0" u="none" baseline="0">
              <a:solidFill>
                <a:srgbClr val="000000"/>
              </a:solidFill>
              <a:latin typeface="Arial"/>
              <a:ea typeface="Arial"/>
              <a:cs typeface="Arial"/>
            </a:rPr>
            <a:t>' Isothermal (optional) -- any value results in isothermal compressible calc, if missing then adiabatic calc
</a:t>
          </a:r>
        </a:p>
      </xdr:txBody>
    </xdr:sp>
    <xdr:clientData/>
  </xdr:oneCellAnchor>
  <xdr:oneCellAnchor>
    <xdr:from>
      <xdr:col>1</xdr:col>
      <xdr:colOff>28575</xdr:colOff>
      <xdr:row>16</xdr:row>
      <xdr:rowOff>133350</xdr:rowOff>
    </xdr:from>
    <xdr:ext cx="5448300" cy="1428750"/>
    <xdr:sp>
      <xdr:nvSpPr>
        <xdr:cNvPr id="4" name="Text Box 5"/>
        <xdr:cNvSpPr txBox="1">
          <a:spLocks noChangeArrowheads="1"/>
        </xdr:cNvSpPr>
      </xdr:nvSpPr>
      <xdr:spPr>
        <a:xfrm>
          <a:off x="6896100" y="2724150"/>
          <a:ext cx="5448300" cy="142875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 NReUS</a:t>
          </a:r>
          <a:r>
            <a:rPr lang="en-US" cap="none" sz="1000" b="0" i="0" u="none" baseline="0">
              <a:solidFill>
                <a:srgbClr val="000000"/>
              </a:solidFill>
              <a:latin typeface="Arial"/>
              <a:ea typeface="Arial"/>
              <a:cs typeface="Arial"/>
            </a:rPr>
            <a:t>(W, mu, d, Optional ro, Optional Tin, Optional Mw, Optional p)
</a:t>
          </a:r>
          <a:r>
            <a:rPr lang="en-US" cap="none" sz="1000" b="0" i="0" u="none" baseline="0">
              <a:solidFill>
                <a:srgbClr val="000000"/>
              </a:solidFill>
              <a:latin typeface="Arial"/>
              <a:ea typeface="Arial"/>
              <a:cs typeface="Arial"/>
            </a:rPr>
            <a:t>' W = Flowrate in lb/h
</a:t>
          </a:r>
          <a:r>
            <a:rPr lang="en-US" cap="none" sz="1000" b="0" i="0" u="none" baseline="0">
              <a:solidFill>
                <a:srgbClr val="000000"/>
              </a:solidFill>
              <a:latin typeface="Arial"/>
              <a:ea typeface="Arial"/>
              <a:cs typeface="Arial"/>
            </a:rPr>
            <a:t>' mu = Viscosity in cP
</a:t>
          </a:r>
          <a:r>
            <a:rPr lang="en-US" cap="none" sz="1000" b="0" i="0" u="none" baseline="0">
              <a:solidFill>
                <a:srgbClr val="000000"/>
              </a:solidFill>
              <a:latin typeface="Arial"/>
              <a:ea typeface="Arial"/>
              <a:cs typeface="Arial"/>
            </a:rPr>
            <a:t>' d = PipeID in inches
</a:t>
          </a:r>
          <a:r>
            <a:rPr lang="en-US" cap="none" sz="1000" b="0" i="0" u="none" baseline="0">
              <a:solidFill>
                <a:srgbClr val="000000"/>
              </a:solidFill>
              <a:latin typeface="Arial"/>
              <a:ea typeface="Arial"/>
              <a:cs typeface="Arial"/>
            </a:rPr>
            <a:t>' ro = density in lb/ft3 (required for liquid)
</a:t>
          </a:r>
          <a:r>
            <a:rPr lang="en-US" cap="none" sz="1000" b="0" i="0" u="none" baseline="0">
              <a:solidFill>
                <a:srgbClr val="000000"/>
              </a:solidFill>
              <a:latin typeface="Arial"/>
              <a:ea typeface="Arial"/>
              <a:cs typeface="Arial"/>
            </a:rPr>
            <a:t>' Tin = temperature, deg F (required for gas) - default 60
</a:t>
          </a:r>
          <a:r>
            <a:rPr lang="en-US" cap="none" sz="1000" b="0" i="0" u="none" baseline="0">
              <a:solidFill>
                <a:srgbClr val="000000"/>
              </a:solidFill>
              <a:latin typeface="Arial"/>
              <a:ea typeface="Arial"/>
              <a:cs typeface="Arial"/>
            </a:rPr>
            <a:t>' Mw = molecular weight (required for gas) - default 29
</a:t>
          </a:r>
          <a:r>
            <a:rPr lang="en-US" cap="none" sz="1000" b="0" i="0" u="none" baseline="0">
              <a:solidFill>
                <a:srgbClr val="000000"/>
              </a:solidFill>
              <a:latin typeface="Arial"/>
              <a:ea typeface="Arial"/>
              <a:cs typeface="Arial"/>
            </a:rPr>
            <a:t>' p = pressure, psia (required for gas) - default 115</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1</xdr:col>
      <xdr:colOff>28575</xdr:colOff>
      <xdr:row>26</xdr:row>
      <xdr:rowOff>0</xdr:rowOff>
    </xdr:from>
    <xdr:ext cx="5448300" cy="609600"/>
    <xdr:sp>
      <xdr:nvSpPr>
        <xdr:cNvPr id="5" name="Text Box 6"/>
        <xdr:cNvSpPr txBox="1">
          <a:spLocks noChangeArrowheads="1"/>
        </xdr:cNvSpPr>
      </xdr:nvSpPr>
      <xdr:spPr>
        <a:xfrm>
          <a:off x="6896100" y="4210050"/>
          <a:ext cx="5448300" cy="60960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 FrictionUS</a:t>
          </a:r>
          <a:r>
            <a:rPr lang="en-US" cap="none" sz="1000" b="0" i="0" u="none" baseline="0">
              <a:solidFill>
                <a:srgbClr val="000000"/>
              </a:solidFill>
              <a:latin typeface="Arial"/>
              <a:ea typeface="Arial"/>
              <a:cs typeface="Arial"/>
            </a:rPr>
            <a:t>(epsilon, NRe, d)
</a:t>
          </a:r>
          <a:r>
            <a:rPr lang="en-US" cap="none" sz="1000" b="0" i="0" u="none" baseline="0">
              <a:solidFill>
                <a:srgbClr val="000000"/>
              </a:solidFill>
              <a:latin typeface="Arial"/>
              <a:ea typeface="Arial"/>
              <a:cs typeface="Arial"/>
            </a:rPr>
            <a:t>' epsilon = Surface roughness is in units feet
</a:t>
          </a:r>
          <a:r>
            <a:rPr lang="en-US" cap="none" sz="1000" b="0" i="0" u="none" baseline="0">
              <a:solidFill>
                <a:srgbClr val="000000"/>
              </a:solidFill>
              <a:latin typeface="Arial"/>
              <a:ea typeface="Arial"/>
              <a:cs typeface="Arial"/>
            </a:rPr>
            <a:t>' d = PipeID is in units inches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1</xdr:col>
      <xdr:colOff>28575</xdr:colOff>
      <xdr:row>30</xdr:row>
      <xdr:rowOff>19050</xdr:rowOff>
    </xdr:from>
    <xdr:ext cx="6915150" cy="2905125"/>
    <xdr:sp>
      <xdr:nvSpPr>
        <xdr:cNvPr id="6" name="Text Box 7"/>
        <xdr:cNvSpPr txBox="1">
          <a:spLocks noChangeArrowheads="1"/>
        </xdr:cNvSpPr>
      </xdr:nvSpPr>
      <xdr:spPr>
        <a:xfrm>
          <a:off x="6896100" y="4876800"/>
          <a:ext cx="6915150" cy="290512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 PDUS</a:t>
          </a:r>
          <a:r>
            <a:rPr lang="en-US" cap="none" sz="1000" b="0" i="0" u="none" baseline="0">
              <a:solidFill>
                <a:srgbClr val="000000"/>
              </a:solidFill>
              <a:latin typeface="Arial"/>
              <a:ea typeface="Arial"/>
              <a:cs typeface="Arial"/>
            </a:rPr>
            <a:t>(W, Pin, Pout, d, L, f, Optional Density, Optional Tin, Optional Mw, Optional Gamma, Optional Isothermal)
</a:t>
          </a:r>
          <a:r>
            <a:rPr lang="en-US" cap="none" sz="1000" b="0" i="0" u="none" baseline="0">
              <a:solidFill>
                <a:srgbClr val="000000"/>
              </a:solidFill>
              <a:latin typeface="Arial"/>
              <a:ea typeface="Arial"/>
              <a:cs typeface="Arial"/>
            </a:rPr>
            <a:t>' Pressure Drop due to friction in a round pipe (adiabatic or isothermal for compressible flow)
</a:t>
          </a:r>
          <a:r>
            <a:rPr lang="en-US" cap="none" sz="1000" b="0" i="0" u="none" baseline="0">
              <a:solidFill>
                <a:srgbClr val="000000"/>
              </a:solidFill>
              <a:latin typeface="Arial"/>
              <a:ea typeface="Arial"/>
              <a:cs typeface="Arial"/>
            </a:rPr>
            <a:t>' with the following arguments
</a:t>
          </a:r>
          <a:r>
            <a:rPr lang="en-US" cap="none" sz="1000" b="0" i="0" u="none" baseline="0">
              <a:solidFill>
                <a:srgbClr val="000000"/>
              </a:solidFill>
              <a:latin typeface="Arial"/>
              <a:ea typeface="Arial"/>
              <a:cs typeface="Arial"/>
            </a:rPr>
            <a:t>' Specify two of the following three; function will compute the third
</a:t>
          </a:r>
          <a:r>
            <a:rPr lang="en-US" cap="none" sz="1000" b="0" i="0" u="none" baseline="0">
              <a:solidFill>
                <a:srgbClr val="000000"/>
              </a:solidFill>
              <a:latin typeface="Arial"/>
              <a:ea typeface="Arial"/>
              <a:cs typeface="Arial"/>
            </a:rPr>
            <a:t>'   W = mass flow rate, lb/hr
</a:t>
          </a:r>
          <a:r>
            <a:rPr lang="en-US" cap="none" sz="1000" b="0" i="0" u="none" baseline="0">
              <a:solidFill>
                <a:srgbClr val="000000"/>
              </a:solidFill>
              <a:latin typeface="Arial"/>
              <a:ea typeface="Arial"/>
              <a:cs typeface="Arial"/>
            </a:rPr>
            <a:t>'   Pin = inlet, or upstream, pressure, psia
</a:t>
          </a:r>
          <a:r>
            <a:rPr lang="en-US" cap="none" sz="1000" b="0" i="0" u="none" baseline="0">
              <a:solidFill>
                <a:srgbClr val="000000"/>
              </a:solidFill>
              <a:latin typeface="Arial"/>
              <a:ea typeface="Arial"/>
              <a:cs typeface="Arial"/>
            </a:rPr>
            <a:t>'   Pout = outlet, or downstream pressure, psia
</a:t>
          </a:r>
          <a:r>
            <a:rPr lang="en-US" cap="none" sz="1000" b="0" i="0" u="none" baseline="0">
              <a:solidFill>
                <a:srgbClr val="000000"/>
              </a:solidFill>
              <a:latin typeface="Arial"/>
              <a:ea typeface="Arial"/>
              <a:cs typeface="Arial"/>
            </a:rPr>
            <a:t>' Pipe properties
</a:t>
          </a:r>
          <a:r>
            <a:rPr lang="en-US" cap="none" sz="1000" b="0" i="0" u="none" baseline="0">
              <a:solidFill>
                <a:srgbClr val="000000"/>
              </a:solidFill>
              <a:latin typeface="Arial"/>
              <a:ea typeface="Arial"/>
              <a:cs typeface="Arial"/>
            </a:rPr>
            <a:t>'   d = pipe diameter, inches
</a:t>
          </a:r>
          <a:r>
            <a:rPr lang="en-US" cap="none" sz="1000" b="0" i="0" u="none" baseline="0">
              <a:solidFill>
                <a:srgbClr val="000000"/>
              </a:solidFill>
              <a:latin typeface="Arial"/>
              <a:ea typeface="Arial"/>
              <a:cs typeface="Arial"/>
            </a:rPr>
            <a:t>'   L = pipe length, feet
</a:t>
          </a:r>
          <a:r>
            <a:rPr lang="en-US" cap="none" sz="1000" b="0" i="0" u="none" baseline="0">
              <a:solidFill>
                <a:srgbClr val="000000"/>
              </a:solidFill>
              <a:latin typeface="Arial"/>
              <a:ea typeface="Arial"/>
              <a:cs typeface="Arial"/>
            </a:rPr>
            <a:t>'   f = Darcy friction factor
</a:t>
          </a:r>
          <a:r>
            <a:rPr lang="en-US" cap="none" sz="1000" b="0" i="0" u="none" baseline="0">
              <a:solidFill>
                <a:srgbClr val="000000"/>
              </a:solidFill>
              <a:latin typeface="Arial"/>
              <a:ea typeface="Arial"/>
              <a:cs typeface="Arial"/>
            </a:rPr>
            <a:t>' Fluid properties
</a:t>
          </a:r>
          <a:r>
            <a:rPr lang="en-US" cap="none" sz="1000" b="0" i="0" u="none" baseline="0">
              <a:solidFill>
                <a:srgbClr val="000000"/>
              </a:solidFill>
              <a:latin typeface="Arial"/>
              <a:ea typeface="Arial"/>
              <a:cs typeface="Arial"/>
            </a:rPr>
            <a:t>'   Density (optional) -- specify for liquids, lb/ft3
</a:t>
          </a:r>
          <a:r>
            <a:rPr lang="en-US" cap="none" sz="1000" b="0" i="0" u="none" baseline="0">
              <a:solidFill>
                <a:srgbClr val="000000"/>
              </a:solidFill>
              <a:latin typeface="Arial"/>
              <a:ea typeface="Arial"/>
              <a:cs typeface="Arial"/>
            </a:rPr>
            <a:t>'   Tin (optional) -- specify for gas, inlet temperature, deg F (default to 60)
</a:t>
          </a:r>
          <a:r>
            <a:rPr lang="en-US" cap="none" sz="1000" b="0" i="0" u="none" baseline="0">
              <a:solidFill>
                <a:srgbClr val="000000"/>
              </a:solidFill>
              <a:latin typeface="Arial"/>
              <a:ea typeface="Arial"/>
              <a:cs typeface="Arial"/>
            </a:rPr>
            <a:t>'   Mw (optional) -- specify for gas, molecular weight (default to 29 for air)
</a:t>
          </a:r>
          <a:r>
            <a:rPr lang="en-US" cap="none" sz="1000" b="0" i="0" u="none" baseline="0">
              <a:solidFill>
                <a:srgbClr val="000000"/>
              </a:solidFill>
              <a:latin typeface="Arial"/>
              <a:ea typeface="Arial"/>
              <a:cs typeface="Arial"/>
            </a:rPr>
            <a:t>'   Gamma (optional) -- specify for gas, ratio of Cp/Cv (default to 1.4)</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Isothermal (optional) -- any value results in isothermal compressible calc, if missing then adiabatic calc
</a:t>
          </a:r>
          <a:r>
            <a:rPr lang="en-US" cap="none" sz="1000" b="0" i="0" u="none" baseline="0">
              <a:solidFill>
                <a:srgbClr val="000000"/>
              </a:solidFill>
              <a:latin typeface="Arial"/>
              <a:ea typeface="Arial"/>
              <a:cs typeface="Arial"/>
            </a:rPr>
            <a:t>
</a:t>
          </a:r>
        </a:p>
      </xdr:txBody>
    </xdr:sp>
    <xdr:clientData/>
  </xdr:oneCellAnchor>
  <xdr:twoCellAnchor editAs="oneCell">
    <xdr:from>
      <xdr:col>0</xdr:col>
      <xdr:colOff>3619500</xdr:colOff>
      <xdr:row>49</xdr:row>
      <xdr:rowOff>76200</xdr:rowOff>
    </xdr:from>
    <xdr:to>
      <xdr:col>0</xdr:col>
      <xdr:colOff>5410200</xdr:colOff>
      <xdr:row>51</xdr:row>
      <xdr:rowOff>123825</xdr:rowOff>
    </xdr:to>
    <xdr:pic>
      <xdr:nvPicPr>
        <xdr:cNvPr id="7" name="Picture 8">
          <a:hlinkClick r:id="rId3"/>
        </xdr:cNvPr>
        <xdr:cNvPicPr preferRelativeResize="1">
          <a:picLocks noChangeAspect="1"/>
        </xdr:cNvPicPr>
      </xdr:nvPicPr>
      <xdr:blipFill>
        <a:blip r:embed="rId1"/>
        <a:stretch>
          <a:fillRect/>
        </a:stretch>
      </xdr:blipFill>
      <xdr:spPr>
        <a:xfrm>
          <a:off x="3619500" y="8010525"/>
          <a:ext cx="1790700" cy="371475"/>
        </a:xfrm>
        <a:prstGeom prst="rect">
          <a:avLst/>
        </a:prstGeom>
        <a:noFill/>
        <a:ln w="9525" cmpd="sng">
          <a:noFill/>
        </a:ln>
      </xdr:spPr>
    </xdr:pic>
    <xdr:clientData/>
  </xdr:twoCellAnchor>
  <xdr:twoCellAnchor editAs="oneCell">
    <xdr:from>
      <xdr:col>0</xdr:col>
      <xdr:colOff>5238750</xdr:colOff>
      <xdr:row>0</xdr:row>
      <xdr:rowOff>104775</xdr:rowOff>
    </xdr:from>
    <xdr:to>
      <xdr:col>0</xdr:col>
      <xdr:colOff>6705600</xdr:colOff>
      <xdr:row>11</xdr:row>
      <xdr:rowOff>9525</xdr:rowOff>
    </xdr:to>
    <xdr:pic>
      <xdr:nvPicPr>
        <xdr:cNvPr id="8" name="Picture 93" descr="Rules of Thumb for Chemical Engineers">
          <a:hlinkClick r:id="rId6"/>
        </xdr:cNvPr>
        <xdr:cNvPicPr preferRelativeResize="1">
          <a:picLocks noChangeAspect="1"/>
        </xdr:cNvPicPr>
      </xdr:nvPicPr>
      <xdr:blipFill>
        <a:blip r:embed="rId4"/>
        <a:stretch>
          <a:fillRect/>
        </a:stretch>
      </xdr:blipFill>
      <xdr:spPr>
        <a:xfrm>
          <a:off x="5238750" y="104775"/>
          <a:ext cx="1466850" cy="1685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114300</xdr:rowOff>
    </xdr:from>
    <xdr:to>
      <xdr:col>4</xdr:col>
      <xdr:colOff>95250</xdr:colOff>
      <xdr:row>3</xdr:row>
      <xdr:rowOff>66675</xdr:rowOff>
    </xdr:to>
    <xdr:sp>
      <xdr:nvSpPr>
        <xdr:cNvPr id="1" name="Text Box 1"/>
        <xdr:cNvSpPr txBox="1">
          <a:spLocks noChangeArrowheads="1"/>
        </xdr:cNvSpPr>
      </xdr:nvSpPr>
      <xdr:spPr>
        <a:xfrm>
          <a:off x="800100" y="114300"/>
          <a:ext cx="3676650"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Pressure Drop due to Friction for R12 at Saturation</a:t>
          </a:r>
        </a:p>
      </xdr:txBody>
    </xdr:sp>
    <xdr:clientData/>
  </xdr:twoCellAnchor>
  <xdr:twoCellAnchor editAs="oneCell">
    <xdr:from>
      <xdr:col>4</xdr:col>
      <xdr:colOff>647700</xdr:colOff>
      <xdr:row>39</xdr:row>
      <xdr:rowOff>19050</xdr:rowOff>
    </xdr:from>
    <xdr:to>
      <xdr:col>10</xdr:col>
      <xdr:colOff>219075</xdr:colOff>
      <xdr:row>67</xdr:row>
      <xdr:rowOff>57150</xdr:rowOff>
    </xdr:to>
    <xdr:pic>
      <xdr:nvPicPr>
        <xdr:cNvPr id="2" name="Picture 2"/>
        <xdr:cNvPicPr preferRelativeResize="1">
          <a:picLocks noChangeAspect="1"/>
        </xdr:cNvPicPr>
      </xdr:nvPicPr>
      <xdr:blipFill>
        <a:blip r:embed="rId1"/>
        <a:stretch>
          <a:fillRect/>
        </a:stretch>
      </xdr:blipFill>
      <xdr:spPr>
        <a:xfrm>
          <a:off x="5029200" y="6334125"/>
          <a:ext cx="4152900" cy="4572000"/>
        </a:xfrm>
        <a:prstGeom prst="rect">
          <a:avLst/>
        </a:prstGeom>
        <a:noFill/>
        <a:ln w="1" cmpd="sng">
          <a:noFill/>
        </a:ln>
      </xdr:spPr>
    </xdr:pic>
    <xdr:clientData/>
  </xdr:twoCellAnchor>
  <xdr:twoCellAnchor>
    <xdr:from>
      <xdr:col>0</xdr:col>
      <xdr:colOff>304800</xdr:colOff>
      <xdr:row>40</xdr:row>
      <xdr:rowOff>0</xdr:rowOff>
    </xdr:from>
    <xdr:to>
      <xdr:col>4</xdr:col>
      <xdr:colOff>485775</xdr:colOff>
      <xdr:row>59</xdr:row>
      <xdr:rowOff>114300</xdr:rowOff>
    </xdr:to>
    <xdr:graphicFrame>
      <xdr:nvGraphicFramePr>
        <xdr:cNvPr id="3" name="Chart 4"/>
        <xdr:cNvGraphicFramePr/>
      </xdr:nvGraphicFramePr>
      <xdr:xfrm>
        <a:off x="304800" y="6477000"/>
        <a:ext cx="4562475" cy="31908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114300</xdr:rowOff>
    </xdr:from>
    <xdr:to>
      <xdr:col>4</xdr:col>
      <xdr:colOff>95250</xdr:colOff>
      <xdr:row>3</xdr:row>
      <xdr:rowOff>66675</xdr:rowOff>
    </xdr:to>
    <xdr:sp>
      <xdr:nvSpPr>
        <xdr:cNvPr id="1" name="Text Box 1"/>
        <xdr:cNvSpPr txBox="1">
          <a:spLocks noChangeArrowheads="1"/>
        </xdr:cNvSpPr>
      </xdr:nvSpPr>
      <xdr:spPr>
        <a:xfrm>
          <a:off x="800100" y="114300"/>
          <a:ext cx="3676650"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Pressure Drop due to Friction for R12 at Saturation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114300</xdr:rowOff>
    </xdr:from>
    <xdr:to>
      <xdr:col>4</xdr:col>
      <xdr:colOff>95250</xdr:colOff>
      <xdr:row>3</xdr:row>
      <xdr:rowOff>66675</xdr:rowOff>
    </xdr:to>
    <xdr:sp>
      <xdr:nvSpPr>
        <xdr:cNvPr id="1" name="Text Box 1"/>
        <xdr:cNvSpPr txBox="1">
          <a:spLocks noChangeArrowheads="1"/>
        </xdr:cNvSpPr>
      </xdr:nvSpPr>
      <xdr:spPr>
        <a:xfrm>
          <a:off x="800100" y="114300"/>
          <a:ext cx="3676650"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Pressure Drop due to Friction for Water-Steam Mixture</a:t>
          </a:r>
        </a:p>
      </xdr:txBody>
    </xdr:sp>
    <xdr:clientData/>
  </xdr:twoCellAnchor>
  <xdr:twoCellAnchor>
    <xdr:from>
      <xdr:col>1</xdr:col>
      <xdr:colOff>104775</xdr:colOff>
      <xdr:row>42</xdr:row>
      <xdr:rowOff>152400</xdr:rowOff>
    </xdr:from>
    <xdr:to>
      <xdr:col>8</xdr:col>
      <xdr:colOff>523875</xdr:colOff>
      <xdr:row>71</xdr:row>
      <xdr:rowOff>66675</xdr:rowOff>
    </xdr:to>
    <xdr:graphicFrame>
      <xdr:nvGraphicFramePr>
        <xdr:cNvPr id="2" name="Chart 6"/>
        <xdr:cNvGraphicFramePr/>
      </xdr:nvGraphicFramePr>
      <xdr:xfrm>
        <a:off x="714375" y="6953250"/>
        <a:ext cx="7410450" cy="4610100"/>
      </xdr:xfrm>
      <a:graphic>
        <a:graphicData uri="http://schemas.openxmlformats.org/drawingml/2006/chart">
          <c:chart xmlns:c="http://schemas.openxmlformats.org/drawingml/2006/chart" r:id="rId1"/>
        </a:graphicData>
      </a:graphic>
    </xdr:graphicFrame>
    <xdr:clientData/>
  </xdr:twoCellAnchor>
  <xdr:twoCellAnchor>
    <xdr:from>
      <xdr:col>24</xdr:col>
      <xdr:colOff>114300</xdr:colOff>
      <xdr:row>73</xdr:row>
      <xdr:rowOff>114300</xdr:rowOff>
    </xdr:from>
    <xdr:to>
      <xdr:col>47</xdr:col>
      <xdr:colOff>47625</xdr:colOff>
      <xdr:row>129</xdr:row>
      <xdr:rowOff>104775</xdr:rowOff>
    </xdr:to>
    <xdr:graphicFrame>
      <xdr:nvGraphicFramePr>
        <xdr:cNvPr id="3" name="Chart 7"/>
        <xdr:cNvGraphicFramePr/>
      </xdr:nvGraphicFramePr>
      <xdr:xfrm>
        <a:off x="18249900" y="11934825"/>
        <a:ext cx="13954125" cy="905827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71</xdr:row>
      <xdr:rowOff>133350</xdr:rowOff>
    </xdr:from>
    <xdr:to>
      <xdr:col>8</xdr:col>
      <xdr:colOff>523875</xdr:colOff>
      <xdr:row>100</xdr:row>
      <xdr:rowOff>66675</xdr:rowOff>
    </xdr:to>
    <xdr:graphicFrame>
      <xdr:nvGraphicFramePr>
        <xdr:cNvPr id="4" name="Chart 8"/>
        <xdr:cNvGraphicFramePr/>
      </xdr:nvGraphicFramePr>
      <xdr:xfrm>
        <a:off x="695325" y="11630025"/>
        <a:ext cx="7429500" cy="4629150"/>
      </xdr:xfrm>
      <a:graphic>
        <a:graphicData uri="http://schemas.openxmlformats.org/drawingml/2006/chart">
          <c:chart xmlns:c="http://schemas.openxmlformats.org/drawingml/2006/chart" r:id="rId3"/>
        </a:graphicData>
      </a:graphic>
    </xdr:graphicFrame>
    <xdr:clientData/>
  </xdr:twoCellAnchor>
  <xdr:twoCellAnchor>
    <xdr:from>
      <xdr:col>24</xdr:col>
      <xdr:colOff>152400</xdr:colOff>
      <xdr:row>132</xdr:row>
      <xdr:rowOff>0</xdr:rowOff>
    </xdr:from>
    <xdr:to>
      <xdr:col>47</xdr:col>
      <xdr:colOff>76200</xdr:colOff>
      <xdr:row>187</xdr:row>
      <xdr:rowOff>76200</xdr:rowOff>
    </xdr:to>
    <xdr:graphicFrame>
      <xdr:nvGraphicFramePr>
        <xdr:cNvPr id="5" name="Chart 9"/>
        <xdr:cNvGraphicFramePr/>
      </xdr:nvGraphicFramePr>
      <xdr:xfrm>
        <a:off x="18288000" y="21374100"/>
        <a:ext cx="13944600" cy="8982075"/>
      </xdr:xfrm>
      <a:graphic>
        <a:graphicData uri="http://schemas.openxmlformats.org/drawingml/2006/chart">
          <c:chart xmlns:c="http://schemas.openxmlformats.org/drawingml/2006/chart" r:id="rId4"/>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114300</xdr:rowOff>
    </xdr:from>
    <xdr:to>
      <xdr:col>4</xdr:col>
      <xdr:colOff>676275</xdr:colOff>
      <xdr:row>3</xdr:row>
      <xdr:rowOff>66675</xdr:rowOff>
    </xdr:to>
    <xdr:sp>
      <xdr:nvSpPr>
        <xdr:cNvPr id="1" name="Text Box 1"/>
        <xdr:cNvSpPr txBox="1">
          <a:spLocks noChangeArrowheads="1"/>
        </xdr:cNvSpPr>
      </xdr:nvSpPr>
      <xdr:spPr>
        <a:xfrm>
          <a:off x="800100" y="114300"/>
          <a:ext cx="425767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Pressure Drop Through an Elbow for Different Steam Qualities</a:t>
          </a:r>
        </a:p>
      </xdr:txBody>
    </xdr:sp>
    <xdr:clientData/>
  </xdr:twoCellAnchor>
  <xdr:twoCellAnchor>
    <xdr:from>
      <xdr:col>7</xdr:col>
      <xdr:colOff>552450</xdr:colOff>
      <xdr:row>48</xdr:row>
      <xdr:rowOff>38100</xdr:rowOff>
    </xdr:from>
    <xdr:to>
      <xdr:col>16</xdr:col>
      <xdr:colOff>352425</xdr:colOff>
      <xdr:row>76</xdr:row>
      <xdr:rowOff>114300</xdr:rowOff>
    </xdr:to>
    <xdr:graphicFrame>
      <xdr:nvGraphicFramePr>
        <xdr:cNvPr id="2" name="Chart 11"/>
        <xdr:cNvGraphicFramePr/>
      </xdr:nvGraphicFramePr>
      <xdr:xfrm>
        <a:off x="7277100" y="7810500"/>
        <a:ext cx="7410450" cy="4610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9525</xdr:rowOff>
    </xdr:from>
    <xdr:to>
      <xdr:col>7</xdr:col>
      <xdr:colOff>200025</xdr:colOff>
      <xdr:row>4</xdr:row>
      <xdr:rowOff>57150</xdr:rowOff>
    </xdr:to>
    <xdr:sp>
      <xdr:nvSpPr>
        <xdr:cNvPr id="1" name="Text Box 1"/>
        <xdr:cNvSpPr txBox="1">
          <a:spLocks noChangeArrowheads="1"/>
        </xdr:cNvSpPr>
      </xdr:nvSpPr>
      <xdr:spPr>
        <a:xfrm>
          <a:off x="790575" y="171450"/>
          <a:ext cx="5334000" cy="533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Compare the Panhandle and Weymouth formulas with the Isothermal gas calculation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xdr:rowOff>
    </xdr:from>
    <xdr:to>
      <xdr:col>5</xdr:col>
      <xdr:colOff>371475</xdr:colOff>
      <xdr:row>4</xdr:row>
      <xdr:rowOff>0</xdr:rowOff>
    </xdr:to>
    <xdr:sp>
      <xdr:nvSpPr>
        <xdr:cNvPr id="1" name="Text Box 4"/>
        <xdr:cNvSpPr txBox="1">
          <a:spLocks noChangeArrowheads="1"/>
        </xdr:cNvSpPr>
      </xdr:nvSpPr>
      <xdr:spPr>
        <a:xfrm>
          <a:off x="609600" y="180975"/>
          <a:ext cx="3343275" cy="466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pressure drop per 100 m or 100 ft using the shortcut formula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19050</xdr:rowOff>
    </xdr:from>
    <xdr:to>
      <xdr:col>4</xdr:col>
      <xdr:colOff>276225</xdr:colOff>
      <xdr:row>3</xdr:row>
      <xdr:rowOff>133350</xdr:rowOff>
    </xdr:to>
    <xdr:sp>
      <xdr:nvSpPr>
        <xdr:cNvPr id="1" name="Text Box 1"/>
        <xdr:cNvSpPr txBox="1">
          <a:spLocks noChangeArrowheads="1"/>
        </xdr:cNvSpPr>
      </xdr:nvSpPr>
      <xdr:spPr>
        <a:xfrm>
          <a:off x="619125" y="180975"/>
          <a:ext cx="334327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Reynolds Number using VBA function call.</a:t>
          </a:r>
        </a:p>
      </xdr:txBody>
    </xdr:sp>
    <xdr:clientData/>
  </xdr:twoCellAnchor>
  <xdr:twoCellAnchor>
    <xdr:from>
      <xdr:col>1</xdr:col>
      <xdr:colOff>1123950</xdr:colOff>
      <xdr:row>20</xdr:row>
      <xdr:rowOff>85725</xdr:rowOff>
    </xdr:from>
    <xdr:to>
      <xdr:col>3</xdr:col>
      <xdr:colOff>457200</xdr:colOff>
      <xdr:row>22</xdr:row>
      <xdr:rowOff>95250</xdr:rowOff>
    </xdr:to>
    <xdr:sp>
      <xdr:nvSpPr>
        <xdr:cNvPr id="2" name="Text Box 2"/>
        <xdr:cNvSpPr txBox="1">
          <a:spLocks noChangeArrowheads="1"/>
        </xdr:cNvSpPr>
      </xdr:nvSpPr>
      <xdr:spPr>
        <a:xfrm>
          <a:off x="1733550" y="3362325"/>
          <a:ext cx="1581150" cy="333375"/>
        </a:xfrm>
        <a:prstGeom prst="rect">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=NReSI(D8,D9,D10,D11)</a:t>
          </a:r>
        </a:p>
      </xdr:txBody>
    </xdr:sp>
    <xdr:clientData/>
  </xdr:twoCellAnchor>
  <xdr:twoCellAnchor>
    <xdr:from>
      <xdr:col>2</xdr:col>
      <xdr:colOff>866775</xdr:colOff>
      <xdr:row>18</xdr:row>
      <xdr:rowOff>57150</xdr:rowOff>
    </xdr:from>
    <xdr:to>
      <xdr:col>3</xdr:col>
      <xdr:colOff>257175</xdr:colOff>
      <xdr:row>20</xdr:row>
      <xdr:rowOff>85725</xdr:rowOff>
    </xdr:to>
    <xdr:sp>
      <xdr:nvSpPr>
        <xdr:cNvPr id="3" name="Line 3"/>
        <xdr:cNvSpPr>
          <a:spLocks/>
        </xdr:cNvSpPr>
      </xdr:nvSpPr>
      <xdr:spPr>
        <a:xfrm flipV="1">
          <a:off x="2714625" y="3009900"/>
          <a:ext cx="4000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20</xdr:row>
      <xdr:rowOff>85725</xdr:rowOff>
    </xdr:from>
    <xdr:to>
      <xdr:col>7</xdr:col>
      <xdr:colOff>104775</xdr:colOff>
      <xdr:row>22</xdr:row>
      <xdr:rowOff>95250</xdr:rowOff>
    </xdr:to>
    <xdr:sp>
      <xdr:nvSpPr>
        <xdr:cNvPr id="4" name="Text Box 4"/>
        <xdr:cNvSpPr txBox="1">
          <a:spLocks noChangeArrowheads="1"/>
        </xdr:cNvSpPr>
      </xdr:nvSpPr>
      <xdr:spPr>
        <a:xfrm>
          <a:off x="3676650" y="3362325"/>
          <a:ext cx="2276475" cy="333375"/>
        </a:xfrm>
        <a:prstGeom prst="rect">
          <a:avLst/>
        </a:prstGeom>
        <a:solidFill>
          <a:srgbClr val="FFFF99"/>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=NReSI(E8,E9,E10,,E12,E13,E14)</a:t>
          </a:r>
        </a:p>
      </xdr:txBody>
    </xdr:sp>
    <xdr:clientData/>
  </xdr:twoCellAnchor>
  <xdr:twoCellAnchor>
    <xdr:from>
      <xdr:col>4</xdr:col>
      <xdr:colOff>628650</xdr:colOff>
      <xdr:row>18</xdr:row>
      <xdr:rowOff>76200</xdr:rowOff>
    </xdr:from>
    <xdr:to>
      <xdr:col>5</xdr:col>
      <xdr:colOff>47625</xdr:colOff>
      <xdr:row>20</xdr:row>
      <xdr:rowOff>66675</xdr:rowOff>
    </xdr:to>
    <xdr:sp>
      <xdr:nvSpPr>
        <xdr:cNvPr id="5" name="Line 5"/>
        <xdr:cNvSpPr>
          <a:spLocks/>
        </xdr:cNvSpPr>
      </xdr:nvSpPr>
      <xdr:spPr>
        <a:xfrm flipH="1" flipV="1">
          <a:off x="4314825" y="3028950"/>
          <a:ext cx="24765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21</xdr:row>
      <xdr:rowOff>38100</xdr:rowOff>
    </xdr:from>
    <xdr:to>
      <xdr:col>8</xdr:col>
      <xdr:colOff>714375</xdr:colOff>
      <xdr:row>23</xdr:row>
      <xdr:rowOff>47625</xdr:rowOff>
    </xdr:to>
    <xdr:sp>
      <xdr:nvSpPr>
        <xdr:cNvPr id="6" name="Text Box 6"/>
        <xdr:cNvSpPr txBox="1">
          <a:spLocks noChangeArrowheads="1"/>
        </xdr:cNvSpPr>
      </xdr:nvSpPr>
      <xdr:spPr>
        <a:xfrm>
          <a:off x="6124575" y="3476625"/>
          <a:ext cx="1743075" cy="333375"/>
        </a:xfrm>
        <a:prstGeom prst="rect">
          <a:avLst/>
        </a:prstGeom>
        <a:solidFill>
          <a:srgbClr val="FFCC99"/>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=NReUS(I8,I9,I10,I11)</a:t>
          </a:r>
        </a:p>
      </xdr:txBody>
    </xdr:sp>
    <xdr:clientData/>
  </xdr:twoCellAnchor>
  <xdr:twoCellAnchor>
    <xdr:from>
      <xdr:col>9</xdr:col>
      <xdr:colOff>219075</xdr:colOff>
      <xdr:row>21</xdr:row>
      <xdr:rowOff>38100</xdr:rowOff>
    </xdr:from>
    <xdr:to>
      <xdr:col>12</xdr:col>
      <xdr:colOff>438150</xdr:colOff>
      <xdr:row>23</xdr:row>
      <xdr:rowOff>47625</xdr:rowOff>
    </xdr:to>
    <xdr:sp>
      <xdr:nvSpPr>
        <xdr:cNvPr id="7" name="Text Box 7"/>
        <xdr:cNvSpPr txBox="1">
          <a:spLocks noChangeArrowheads="1"/>
        </xdr:cNvSpPr>
      </xdr:nvSpPr>
      <xdr:spPr>
        <a:xfrm>
          <a:off x="8210550" y="3476625"/>
          <a:ext cx="2276475" cy="333375"/>
        </a:xfrm>
        <a:prstGeom prst="rect">
          <a:avLst/>
        </a:prstGeom>
        <a:solidFill>
          <a:srgbClr val="CC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=NReUS(J8,J9,J10,,J12,J13,J14)</a:t>
          </a:r>
        </a:p>
      </xdr:txBody>
    </xdr:sp>
    <xdr:clientData/>
  </xdr:twoCellAnchor>
  <xdr:twoCellAnchor>
    <xdr:from>
      <xdr:col>8</xdr:col>
      <xdr:colOff>0</xdr:colOff>
      <xdr:row>18</xdr:row>
      <xdr:rowOff>47625</xdr:rowOff>
    </xdr:from>
    <xdr:to>
      <xdr:col>8</xdr:col>
      <xdr:colOff>323850</xdr:colOff>
      <xdr:row>21</xdr:row>
      <xdr:rowOff>28575</xdr:rowOff>
    </xdr:to>
    <xdr:sp>
      <xdr:nvSpPr>
        <xdr:cNvPr id="8" name="Line 8"/>
        <xdr:cNvSpPr>
          <a:spLocks/>
        </xdr:cNvSpPr>
      </xdr:nvSpPr>
      <xdr:spPr>
        <a:xfrm flipV="1">
          <a:off x="7153275" y="3000375"/>
          <a:ext cx="32385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657225</xdr:colOff>
      <xdr:row>18</xdr:row>
      <xdr:rowOff>47625</xdr:rowOff>
    </xdr:from>
    <xdr:to>
      <xdr:col>10</xdr:col>
      <xdr:colOff>352425</xdr:colOff>
      <xdr:row>21</xdr:row>
      <xdr:rowOff>19050</xdr:rowOff>
    </xdr:to>
    <xdr:sp>
      <xdr:nvSpPr>
        <xdr:cNvPr id="9" name="Line 9"/>
        <xdr:cNvSpPr>
          <a:spLocks/>
        </xdr:cNvSpPr>
      </xdr:nvSpPr>
      <xdr:spPr>
        <a:xfrm flipH="1" flipV="1">
          <a:off x="8648700" y="3000375"/>
          <a:ext cx="53340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19050</xdr:rowOff>
    </xdr:from>
    <xdr:to>
      <xdr:col>4</xdr:col>
      <xdr:colOff>276225</xdr:colOff>
      <xdr:row>3</xdr:row>
      <xdr:rowOff>133350</xdr:rowOff>
    </xdr:to>
    <xdr:sp>
      <xdr:nvSpPr>
        <xdr:cNvPr id="1" name="Text Box 1"/>
        <xdr:cNvSpPr txBox="1">
          <a:spLocks noChangeArrowheads="1"/>
        </xdr:cNvSpPr>
      </xdr:nvSpPr>
      <xdr:spPr>
        <a:xfrm>
          <a:off x="619125" y="180975"/>
          <a:ext cx="334327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Darcy Friction Factor using VBA function call.</a:t>
          </a:r>
        </a:p>
      </xdr:txBody>
    </xdr:sp>
    <xdr:clientData/>
  </xdr:twoCellAnchor>
  <xdr:twoCellAnchor>
    <xdr:from>
      <xdr:col>2</xdr:col>
      <xdr:colOff>76200</xdr:colOff>
      <xdr:row>23</xdr:row>
      <xdr:rowOff>28575</xdr:rowOff>
    </xdr:from>
    <xdr:to>
      <xdr:col>3</xdr:col>
      <xdr:colOff>647700</xdr:colOff>
      <xdr:row>25</xdr:row>
      <xdr:rowOff>38100</xdr:rowOff>
    </xdr:to>
    <xdr:sp>
      <xdr:nvSpPr>
        <xdr:cNvPr id="2" name="Text Box 2"/>
        <xdr:cNvSpPr txBox="1">
          <a:spLocks noChangeArrowheads="1"/>
        </xdr:cNvSpPr>
      </xdr:nvSpPr>
      <xdr:spPr>
        <a:xfrm>
          <a:off x="1924050" y="3790950"/>
          <a:ext cx="1581150" cy="333375"/>
        </a:xfrm>
        <a:prstGeom prst="rect">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=FrictionSI(D16,D19,D10)</a:t>
          </a:r>
        </a:p>
      </xdr:txBody>
    </xdr:sp>
    <xdr:clientData/>
  </xdr:twoCellAnchor>
  <xdr:twoCellAnchor>
    <xdr:from>
      <xdr:col>3</xdr:col>
      <xdr:colOff>47625</xdr:colOff>
      <xdr:row>21</xdr:row>
      <xdr:rowOff>0</xdr:rowOff>
    </xdr:from>
    <xdr:to>
      <xdr:col>3</xdr:col>
      <xdr:colOff>447675</xdr:colOff>
      <xdr:row>23</xdr:row>
      <xdr:rowOff>28575</xdr:rowOff>
    </xdr:to>
    <xdr:sp>
      <xdr:nvSpPr>
        <xdr:cNvPr id="3" name="Line 3"/>
        <xdr:cNvSpPr>
          <a:spLocks/>
        </xdr:cNvSpPr>
      </xdr:nvSpPr>
      <xdr:spPr>
        <a:xfrm flipV="1">
          <a:off x="2905125" y="3438525"/>
          <a:ext cx="4000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24</xdr:row>
      <xdr:rowOff>0</xdr:rowOff>
    </xdr:from>
    <xdr:to>
      <xdr:col>8</xdr:col>
      <xdr:colOff>733425</xdr:colOff>
      <xdr:row>26</xdr:row>
      <xdr:rowOff>9525</xdr:rowOff>
    </xdr:to>
    <xdr:sp>
      <xdr:nvSpPr>
        <xdr:cNvPr id="4" name="Text Box 6"/>
        <xdr:cNvSpPr txBox="1">
          <a:spLocks noChangeArrowheads="1"/>
        </xdr:cNvSpPr>
      </xdr:nvSpPr>
      <xdr:spPr>
        <a:xfrm>
          <a:off x="6029325" y="3924300"/>
          <a:ext cx="1704975" cy="333375"/>
        </a:xfrm>
        <a:prstGeom prst="rect">
          <a:avLst/>
        </a:prstGeom>
        <a:solidFill>
          <a:srgbClr val="FFCC99"/>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=FrictionUS(I16,I19,I10)</a:t>
          </a:r>
        </a:p>
      </xdr:txBody>
    </xdr:sp>
    <xdr:clientData/>
  </xdr:twoCellAnchor>
  <xdr:twoCellAnchor>
    <xdr:from>
      <xdr:col>8</xdr:col>
      <xdr:colOff>123825</xdr:colOff>
      <xdr:row>21</xdr:row>
      <xdr:rowOff>19050</xdr:rowOff>
    </xdr:from>
    <xdr:to>
      <xdr:col>8</xdr:col>
      <xdr:colOff>447675</xdr:colOff>
      <xdr:row>24</xdr:row>
      <xdr:rowOff>0</xdr:rowOff>
    </xdr:to>
    <xdr:sp>
      <xdr:nvSpPr>
        <xdr:cNvPr id="5" name="Line 7"/>
        <xdr:cNvSpPr>
          <a:spLocks/>
        </xdr:cNvSpPr>
      </xdr:nvSpPr>
      <xdr:spPr>
        <a:xfrm flipV="1">
          <a:off x="7124700" y="3457575"/>
          <a:ext cx="32385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114300</xdr:rowOff>
    </xdr:from>
    <xdr:to>
      <xdr:col>4</xdr:col>
      <xdr:colOff>95250</xdr:colOff>
      <xdr:row>3</xdr:row>
      <xdr:rowOff>66675</xdr:rowOff>
    </xdr:to>
    <xdr:sp>
      <xdr:nvSpPr>
        <xdr:cNvPr id="1" name="Text Box 1"/>
        <xdr:cNvSpPr txBox="1">
          <a:spLocks noChangeArrowheads="1"/>
        </xdr:cNvSpPr>
      </xdr:nvSpPr>
      <xdr:spPr>
        <a:xfrm>
          <a:off x="800100" y="114300"/>
          <a:ext cx="3467100"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Pressure Drop due to Friction</a:t>
          </a:r>
        </a:p>
      </xdr:txBody>
    </xdr:sp>
    <xdr:clientData/>
  </xdr:twoCellAnchor>
  <xdr:twoCellAnchor>
    <xdr:from>
      <xdr:col>1</xdr:col>
      <xdr:colOff>933450</xdr:colOff>
      <xdr:row>28</xdr:row>
      <xdr:rowOff>104775</xdr:rowOff>
    </xdr:from>
    <xdr:to>
      <xdr:col>3</xdr:col>
      <xdr:colOff>190500</xdr:colOff>
      <xdr:row>30</xdr:row>
      <xdr:rowOff>114300</xdr:rowOff>
    </xdr:to>
    <xdr:sp>
      <xdr:nvSpPr>
        <xdr:cNvPr id="2" name="Text Box 4"/>
        <xdr:cNvSpPr txBox="1">
          <a:spLocks noChangeArrowheads="1"/>
        </xdr:cNvSpPr>
      </xdr:nvSpPr>
      <xdr:spPr>
        <a:xfrm>
          <a:off x="1543050" y="4676775"/>
          <a:ext cx="1990725" cy="333375"/>
        </a:xfrm>
        <a:prstGeom prst="rect">
          <a:avLst/>
        </a:prstGeom>
        <a:solidFill>
          <a:srgbClr val="CCFFCC"/>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=PDSI(D8,D9,,D12,D13,D24,D14)</a:t>
          </a:r>
        </a:p>
      </xdr:txBody>
    </xdr:sp>
    <xdr:clientData/>
  </xdr:twoCellAnchor>
  <xdr:twoCellAnchor>
    <xdr:from>
      <xdr:col>2</xdr:col>
      <xdr:colOff>304800</xdr:colOff>
      <xdr:row>26</xdr:row>
      <xdr:rowOff>19050</xdr:rowOff>
    </xdr:from>
    <xdr:to>
      <xdr:col>3</xdr:col>
      <xdr:colOff>57150</xdr:colOff>
      <xdr:row>28</xdr:row>
      <xdr:rowOff>95250</xdr:rowOff>
    </xdr:to>
    <xdr:sp>
      <xdr:nvSpPr>
        <xdr:cNvPr id="3" name="Line 5"/>
        <xdr:cNvSpPr>
          <a:spLocks/>
        </xdr:cNvSpPr>
      </xdr:nvSpPr>
      <xdr:spPr>
        <a:xfrm flipV="1">
          <a:off x="2638425" y="4267200"/>
          <a:ext cx="7620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31</xdr:row>
      <xdr:rowOff>114300</xdr:rowOff>
    </xdr:from>
    <xdr:to>
      <xdr:col>4</xdr:col>
      <xdr:colOff>752475</xdr:colOff>
      <xdr:row>33</xdr:row>
      <xdr:rowOff>123825</xdr:rowOff>
    </xdr:to>
    <xdr:sp>
      <xdr:nvSpPr>
        <xdr:cNvPr id="4" name="Text Box 6"/>
        <xdr:cNvSpPr txBox="1">
          <a:spLocks noChangeArrowheads="1"/>
        </xdr:cNvSpPr>
      </xdr:nvSpPr>
      <xdr:spPr>
        <a:xfrm>
          <a:off x="2428875" y="5172075"/>
          <a:ext cx="2495550" cy="333375"/>
        </a:xfrm>
        <a:prstGeom prst="rect">
          <a:avLst/>
        </a:prstGeom>
        <a:solidFill>
          <a:srgbClr val="FFFF99"/>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=PDSI(E8,E9,,E12,E13,E24,,E15,E16,E17)</a:t>
          </a:r>
        </a:p>
      </xdr:txBody>
    </xdr:sp>
    <xdr:clientData/>
  </xdr:twoCellAnchor>
  <xdr:twoCellAnchor>
    <xdr:from>
      <xdr:col>3</xdr:col>
      <xdr:colOff>409575</xdr:colOff>
      <xdr:row>26</xdr:row>
      <xdr:rowOff>47625</xdr:rowOff>
    </xdr:from>
    <xdr:to>
      <xdr:col>4</xdr:col>
      <xdr:colOff>161925</xdr:colOff>
      <xdr:row>31</xdr:row>
      <xdr:rowOff>104775</xdr:rowOff>
    </xdr:to>
    <xdr:sp>
      <xdr:nvSpPr>
        <xdr:cNvPr id="5" name="Line 7"/>
        <xdr:cNvSpPr>
          <a:spLocks/>
        </xdr:cNvSpPr>
      </xdr:nvSpPr>
      <xdr:spPr>
        <a:xfrm flipV="1">
          <a:off x="3752850" y="4295775"/>
          <a:ext cx="581025"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28</xdr:row>
      <xdr:rowOff>114300</xdr:rowOff>
    </xdr:from>
    <xdr:to>
      <xdr:col>8</xdr:col>
      <xdr:colOff>523875</xdr:colOff>
      <xdr:row>30</xdr:row>
      <xdr:rowOff>123825</xdr:rowOff>
    </xdr:to>
    <xdr:sp>
      <xdr:nvSpPr>
        <xdr:cNvPr id="6" name="Text Box 11"/>
        <xdr:cNvSpPr txBox="1">
          <a:spLocks noChangeArrowheads="1"/>
        </xdr:cNvSpPr>
      </xdr:nvSpPr>
      <xdr:spPr>
        <a:xfrm>
          <a:off x="5895975" y="4686300"/>
          <a:ext cx="2066925" cy="333375"/>
        </a:xfrm>
        <a:prstGeom prst="rect">
          <a:avLst/>
        </a:prstGeom>
        <a:solidFill>
          <a:srgbClr val="FFCC99"/>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=PDUS(I8,I9,,I12,I13,I24,I14)</a:t>
          </a:r>
        </a:p>
      </xdr:txBody>
    </xdr:sp>
    <xdr:clientData/>
  </xdr:twoCellAnchor>
  <xdr:twoCellAnchor>
    <xdr:from>
      <xdr:col>7</xdr:col>
      <xdr:colOff>771525</xdr:colOff>
      <xdr:row>26</xdr:row>
      <xdr:rowOff>28575</xdr:rowOff>
    </xdr:from>
    <xdr:to>
      <xdr:col>8</xdr:col>
      <xdr:colOff>390525</xdr:colOff>
      <xdr:row>28</xdr:row>
      <xdr:rowOff>104775</xdr:rowOff>
    </xdr:to>
    <xdr:sp>
      <xdr:nvSpPr>
        <xdr:cNvPr id="7" name="Line 12"/>
        <xdr:cNvSpPr>
          <a:spLocks/>
        </xdr:cNvSpPr>
      </xdr:nvSpPr>
      <xdr:spPr>
        <a:xfrm flipV="1">
          <a:off x="6991350" y="4276725"/>
          <a:ext cx="8382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31</xdr:row>
      <xdr:rowOff>123825</xdr:rowOff>
    </xdr:from>
    <xdr:to>
      <xdr:col>10</xdr:col>
      <xdr:colOff>238125</xdr:colOff>
      <xdr:row>33</xdr:row>
      <xdr:rowOff>133350</xdr:rowOff>
    </xdr:to>
    <xdr:sp>
      <xdr:nvSpPr>
        <xdr:cNvPr id="8" name="Text Box 13"/>
        <xdr:cNvSpPr txBox="1">
          <a:spLocks noChangeArrowheads="1"/>
        </xdr:cNvSpPr>
      </xdr:nvSpPr>
      <xdr:spPr>
        <a:xfrm>
          <a:off x="6781800" y="5181600"/>
          <a:ext cx="2571750" cy="333375"/>
        </a:xfrm>
        <a:prstGeom prst="rect">
          <a:avLst/>
        </a:prstGeom>
        <a:solidFill>
          <a:srgbClr val="CC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=PDUS(J8,J9,,J12,J13,J24,,J15,J16,J17)</a:t>
          </a:r>
        </a:p>
      </xdr:txBody>
    </xdr:sp>
    <xdr:clientData/>
  </xdr:twoCellAnchor>
  <xdr:twoCellAnchor>
    <xdr:from>
      <xdr:col>8</xdr:col>
      <xdr:colOff>742950</xdr:colOff>
      <xdr:row>26</xdr:row>
      <xdr:rowOff>57150</xdr:rowOff>
    </xdr:from>
    <xdr:to>
      <xdr:col>9</xdr:col>
      <xdr:colOff>485775</xdr:colOff>
      <xdr:row>31</xdr:row>
      <xdr:rowOff>114300</xdr:rowOff>
    </xdr:to>
    <xdr:sp>
      <xdr:nvSpPr>
        <xdr:cNvPr id="9" name="Line 14"/>
        <xdr:cNvSpPr>
          <a:spLocks/>
        </xdr:cNvSpPr>
      </xdr:nvSpPr>
      <xdr:spPr>
        <a:xfrm flipV="1">
          <a:off x="8181975" y="4305300"/>
          <a:ext cx="581025"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114300</xdr:rowOff>
    </xdr:from>
    <xdr:to>
      <xdr:col>4</xdr:col>
      <xdr:colOff>628650</xdr:colOff>
      <xdr:row>3</xdr:row>
      <xdr:rowOff>66675</xdr:rowOff>
    </xdr:to>
    <xdr:sp>
      <xdr:nvSpPr>
        <xdr:cNvPr id="1" name="Text Box 1"/>
        <xdr:cNvSpPr txBox="1">
          <a:spLocks noChangeArrowheads="1"/>
        </xdr:cNvSpPr>
      </xdr:nvSpPr>
      <xdr:spPr>
        <a:xfrm>
          <a:off x="800100" y="114300"/>
          <a:ext cx="4000500"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Flow Rate given upstream and downstream pressures</a:t>
          </a:r>
        </a:p>
      </xdr:txBody>
    </xdr:sp>
    <xdr:clientData/>
  </xdr:twoCellAnchor>
  <xdr:twoCellAnchor>
    <xdr:from>
      <xdr:col>0</xdr:col>
      <xdr:colOff>390525</xdr:colOff>
      <xdr:row>28</xdr:row>
      <xdr:rowOff>28575</xdr:rowOff>
    </xdr:from>
    <xdr:to>
      <xdr:col>2</xdr:col>
      <xdr:colOff>914400</xdr:colOff>
      <xdr:row>30</xdr:row>
      <xdr:rowOff>38100</xdr:rowOff>
    </xdr:to>
    <xdr:sp>
      <xdr:nvSpPr>
        <xdr:cNvPr id="2" name="Text Box 4"/>
        <xdr:cNvSpPr txBox="1">
          <a:spLocks noChangeArrowheads="1"/>
        </xdr:cNvSpPr>
      </xdr:nvSpPr>
      <xdr:spPr>
        <a:xfrm>
          <a:off x="390525" y="4676775"/>
          <a:ext cx="2857500" cy="333375"/>
        </a:xfrm>
        <a:prstGeom prst="rect">
          <a:avLst/>
        </a:prstGeom>
        <a:solidFill>
          <a:srgbClr val="FFFF99"/>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=PDSI( ,E9,E10,E12,E13,E24,E14,E15,E16,E17)</a:t>
          </a:r>
        </a:p>
      </xdr:txBody>
    </xdr:sp>
    <xdr:clientData/>
  </xdr:twoCellAnchor>
  <xdr:twoCellAnchor>
    <xdr:from>
      <xdr:col>2</xdr:col>
      <xdr:colOff>914400</xdr:colOff>
      <xdr:row>26</xdr:row>
      <xdr:rowOff>28575</xdr:rowOff>
    </xdr:from>
    <xdr:to>
      <xdr:col>4</xdr:col>
      <xdr:colOff>0</xdr:colOff>
      <xdr:row>28</xdr:row>
      <xdr:rowOff>28575</xdr:rowOff>
    </xdr:to>
    <xdr:sp>
      <xdr:nvSpPr>
        <xdr:cNvPr id="3" name="Line 5"/>
        <xdr:cNvSpPr>
          <a:spLocks/>
        </xdr:cNvSpPr>
      </xdr:nvSpPr>
      <xdr:spPr>
        <a:xfrm flipV="1">
          <a:off x="3248025" y="4352925"/>
          <a:ext cx="9239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9</xdr:row>
      <xdr:rowOff>142875</xdr:rowOff>
    </xdr:from>
    <xdr:to>
      <xdr:col>8</xdr:col>
      <xdr:colOff>514350</xdr:colOff>
      <xdr:row>16</xdr:row>
      <xdr:rowOff>57150</xdr:rowOff>
    </xdr:to>
    <xdr:sp>
      <xdr:nvSpPr>
        <xdr:cNvPr id="4" name="Text Box 6"/>
        <xdr:cNvSpPr txBox="1">
          <a:spLocks noChangeArrowheads="1"/>
        </xdr:cNvSpPr>
      </xdr:nvSpPr>
      <xdr:spPr>
        <a:xfrm>
          <a:off x="5419725" y="1714500"/>
          <a:ext cx="1924050" cy="10477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Goal Seek to find a value for the Guessed flow rate (Cell E8) that equals the calculated flow rate (Cell E26). Notice that Reynolds Number is calculated using the Guess.</a:t>
          </a:r>
        </a:p>
      </xdr:txBody>
    </xdr:sp>
    <xdr:clientData/>
  </xdr:twoCellAnchor>
  <xdr:twoCellAnchor>
    <xdr:from>
      <xdr:col>10</xdr:col>
      <xdr:colOff>771525</xdr:colOff>
      <xdr:row>26</xdr:row>
      <xdr:rowOff>9525</xdr:rowOff>
    </xdr:from>
    <xdr:to>
      <xdr:col>11</xdr:col>
      <xdr:colOff>304800</xdr:colOff>
      <xdr:row>28</xdr:row>
      <xdr:rowOff>104775</xdr:rowOff>
    </xdr:to>
    <xdr:sp>
      <xdr:nvSpPr>
        <xdr:cNvPr id="5" name="Line 9"/>
        <xdr:cNvSpPr>
          <a:spLocks/>
        </xdr:cNvSpPr>
      </xdr:nvSpPr>
      <xdr:spPr>
        <a:xfrm flipV="1">
          <a:off x="8820150" y="4333875"/>
          <a:ext cx="76200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590550</xdr:colOff>
      <xdr:row>28</xdr:row>
      <xdr:rowOff>95250</xdr:rowOff>
    </xdr:from>
    <xdr:to>
      <xdr:col>11</xdr:col>
      <xdr:colOff>723900</xdr:colOff>
      <xdr:row>30</xdr:row>
      <xdr:rowOff>104775</xdr:rowOff>
    </xdr:to>
    <xdr:sp>
      <xdr:nvSpPr>
        <xdr:cNvPr id="6" name="Text Box 11"/>
        <xdr:cNvSpPr txBox="1">
          <a:spLocks noChangeArrowheads="1"/>
        </xdr:cNvSpPr>
      </xdr:nvSpPr>
      <xdr:spPr>
        <a:xfrm>
          <a:off x="7419975" y="4743450"/>
          <a:ext cx="2581275" cy="333375"/>
        </a:xfrm>
        <a:prstGeom prst="rect">
          <a:avLst/>
        </a:prstGeom>
        <a:solidFill>
          <a:srgbClr val="CC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=PDUS( ,L9,L10,L12,L13,L24,,L15,L16,L17)</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114300</xdr:rowOff>
    </xdr:from>
    <xdr:to>
      <xdr:col>6</xdr:col>
      <xdr:colOff>304800</xdr:colOff>
      <xdr:row>3</xdr:row>
      <xdr:rowOff>66675</xdr:rowOff>
    </xdr:to>
    <xdr:sp>
      <xdr:nvSpPr>
        <xdr:cNvPr id="1" name="Text Box 1"/>
        <xdr:cNvSpPr txBox="1">
          <a:spLocks noChangeArrowheads="1"/>
        </xdr:cNvSpPr>
      </xdr:nvSpPr>
      <xdr:spPr>
        <a:xfrm>
          <a:off x="619125" y="114300"/>
          <a:ext cx="5372100"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Compare pressure drop calculations using equivalent length and K-value methods for fittings.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114300</xdr:rowOff>
    </xdr:from>
    <xdr:to>
      <xdr:col>4</xdr:col>
      <xdr:colOff>95250</xdr:colOff>
      <xdr:row>3</xdr:row>
      <xdr:rowOff>66675</xdr:rowOff>
    </xdr:to>
    <xdr:sp>
      <xdr:nvSpPr>
        <xdr:cNvPr id="1" name="Text Box 1"/>
        <xdr:cNvSpPr txBox="1">
          <a:spLocks noChangeArrowheads="1"/>
        </xdr:cNvSpPr>
      </xdr:nvSpPr>
      <xdr:spPr>
        <a:xfrm>
          <a:off x="800100" y="114300"/>
          <a:ext cx="3467100"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Permanent Pressure Drop Through Orifice</a:t>
          </a:r>
        </a:p>
      </xdr:txBody>
    </xdr:sp>
    <xdr:clientData/>
  </xdr:twoCellAnchor>
  <xdr:oneCellAnchor>
    <xdr:from>
      <xdr:col>4</xdr:col>
      <xdr:colOff>95250</xdr:colOff>
      <xdr:row>0</xdr:row>
      <xdr:rowOff>95250</xdr:rowOff>
    </xdr:from>
    <xdr:ext cx="3524250" cy="1609725"/>
    <xdr:grpSp>
      <xdr:nvGrpSpPr>
        <xdr:cNvPr id="2" name="Group 26"/>
        <xdr:cNvGrpSpPr>
          <a:grpSpLocks/>
        </xdr:cNvGrpSpPr>
      </xdr:nvGrpSpPr>
      <xdr:grpSpPr>
        <a:xfrm>
          <a:off x="4267200" y="95250"/>
          <a:ext cx="3524250" cy="1609725"/>
          <a:chOff x="443" y="148"/>
          <a:chExt cx="370" cy="169"/>
        </a:xfrm>
        <a:solidFill>
          <a:srgbClr val="FFFFFF"/>
        </a:solidFill>
      </xdr:grpSpPr>
      <xdr:sp>
        <xdr:nvSpPr>
          <xdr:cNvPr id="3" name="Line 6"/>
          <xdr:cNvSpPr>
            <a:spLocks/>
          </xdr:cNvSpPr>
        </xdr:nvSpPr>
        <xdr:spPr>
          <a:xfrm>
            <a:off x="502" y="148"/>
            <a:ext cx="0" cy="119"/>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7"/>
          <xdr:cNvSpPr txBox="1">
            <a:spLocks noChangeArrowheads="1"/>
          </xdr:cNvSpPr>
        </xdr:nvSpPr>
        <xdr:spPr>
          <a:xfrm>
            <a:off x="443" y="275"/>
            <a:ext cx="116" cy="42"/>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Pipe Header at 700 kPa absolute</a:t>
            </a:r>
          </a:p>
        </xdr:txBody>
      </xdr:sp>
      <xdr:sp>
        <xdr:nvSpPr>
          <xdr:cNvPr id="5" name="Line 8"/>
          <xdr:cNvSpPr>
            <a:spLocks/>
          </xdr:cNvSpPr>
        </xdr:nvSpPr>
        <xdr:spPr>
          <a:xfrm>
            <a:off x="504" y="202"/>
            <a:ext cx="25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9"/>
          <xdr:cNvSpPr txBox="1">
            <a:spLocks noChangeArrowheads="1"/>
          </xdr:cNvSpPr>
        </xdr:nvSpPr>
        <xdr:spPr>
          <a:xfrm>
            <a:off x="548" y="180"/>
            <a:ext cx="128" cy="18"/>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60 m, 38.1 mm ID</a:t>
            </a:r>
          </a:p>
        </xdr:txBody>
      </xdr:sp>
      <xdr:sp>
        <xdr:nvSpPr>
          <xdr:cNvPr id="7" name="Line 10"/>
          <xdr:cNvSpPr>
            <a:spLocks/>
          </xdr:cNvSpPr>
        </xdr:nvSpPr>
        <xdr:spPr>
          <a:xfrm>
            <a:off x="758" y="191"/>
            <a:ext cx="0"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a:off x="761" y="19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2"/>
          <xdr:cNvSpPr>
            <a:spLocks/>
          </xdr:cNvSpPr>
        </xdr:nvSpPr>
        <xdr:spPr>
          <a:xfrm>
            <a:off x="764" y="191"/>
            <a:ext cx="0"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3"/>
          <xdr:cNvSpPr>
            <a:spLocks/>
          </xdr:cNvSpPr>
        </xdr:nvSpPr>
        <xdr:spPr>
          <a:xfrm>
            <a:off x="761" y="207"/>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Oval 14"/>
          <xdr:cNvSpPr>
            <a:spLocks/>
          </xdr:cNvSpPr>
        </xdr:nvSpPr>
        <xdr:spPr>
          <a:xfrm>
            <a:off x="745" y="157"/>
            <a:ext cx="31" cy="31"/>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RO</a:t>
            </a:r>
          </a:p>
        </xdr:txBody>
      </xdr:sp>
      <xdr:sp>
        <xdr:nvSpPr>
          <xdr:cNvPr id="12" name="Line 16"/>
          <xdr:cNvSpPr>
            <a:spLocks/>
          </xdr:cNvSpPr>
        </xdr:nvSpPr>
        <xdr:spPr>
          <a:xfrm>
            <a:off x="765" y="202"/>
            <a:ext cx="19"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7"/>
          <xdr:cNvSpPr>
            <a:spLocks/>
          </xdr:cNvSpPr>
        </xdr:nvSpPr>
        <xdr:spPr>
          <a:xfrm>
            <a:off x="783" y="202"/>
            <a:ext cx="0" cy="99"/>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 Box 18"/>
          <xdr:cNvSpPr txBox="1">
            <a:spLocks noChangeArrowheads="1"/>
          </xdr:cNvSpPr>
        </xdr:nvSpPr>
        <xdr:spPr>
          <a:xfrm>
            <a:off x="514" y="218"/>
            <a:ext cx="20" cy="19"/>
          </a:xfrm>
          <a:prstGeom prst="rect">
            <a:avLst/>
          </a:prstGeom>
          <a:noFill/>
          <a:ln w="9525" cmpd="sng">
            <a:noFill/>
          </a:ln>
        </xdr:spPr>
        <xdr:txBody>
          <a:bodyPr vertOverflow="clip" wrap="square" lIns="18288" tIns="22860" rIns="0" bIns="0">
            <a:spAutoFit/>
          </a:bodyPr>
          <a:p>
            <a:pPr algn="l">
              <a:defRPr/>
            </a:pPr>
            <a:r>
              <a:rPr lang="en-US" cap="none" sz="1000" b="0" i="1" u="none" baseline="0">
                <a:solidFill>
                  <a:srgbClr val="000000"/>
                </a:solidFill>
                <a:latin typeface="Arial"/>
                <a:ea typeface="Arial"/>
                <a:cs typeface="Arial"/>
              </a:rPr>
              <a:t>P0</a:t>
            </a:r>
          </a:p>
        </xdr:txBody>
      </xdr:sp>
      <xdr:sp>
        <xdr:nvSpPr>
          <xdr:cNvPr id="15" name="Text Box 19"/>
          <xdr:cNvSpPr txBox="1">
            <a:spLocks noChangeArrowheads="1"/>
          </xdr:cNvSpPr>
        </xdr:nvSpPr>
        <xdr:spPr>
          <a:xfrm>
            <a:off x="719" y="218"/>
            <a:ext cx="20" cy="19"/>
          </a:xfrm>
          <a:prstGeom prst="rect">
            <a:avLst/>
          </a:prstGeom>
          <a:noFill/>
          <a:ln w="9525" cmpd="sng">
            <a:noFill/>
          </a:ln>
        </xdr:spPr>
        <xdr:txBody>
          <a:bodyPr vertOverflow="clip" wrap="square" lIns="18288" tIns="22860" rIns="0" bIns="0">
            <a:spAutoFit/>
          </a:bodyPr>
          <a:p>
            <a:pPr algn="l">
              <a:defRPr/>
            </a:pPr>
            <a:r>
              <a:rPr lang="en-US" cap="none" sz="1000" b="0" i="1" u="none" baseline="0">
                <a:solidFill>
                  <a:srgbClr val="000000"/>
                </a:solidFill>
                <a:latin typeface="Arial"/>
                <a:ea typeface="Arial"/>
                <a:cs typeface="Arial"/>
              </a:rPr>
              <a:t>P1</a:t>
            </a:r>
          </a:p>
        </xdr:txBody>
      </xdr:sp>
      <xdr:sp>
        <xdr:nvSpPr>
          <xdr:cNvPr id="16" name="Text Box 20"/>
          <xdr:cNvSpPr txBox="1">
            <a:spLocks noChangeArrowheads="1"/>
          </xdr:cNvSpPr>
        </xdr:nvSpPr>
        <xdr:spPr>
          <a:xfrm>
            <a:off x="784" y="173"/>
            <a:ext cx="20" cy="19"/>
          </a:xfrm>
          <a:prstGeom prst="rect">
            <a:avLst/>
          </a:prstGeom>
          <a:noFill/>
          <a:ln w="9525" cmpd="sng">
            <a:noFill/>
          </a:ln>
        </xdr:spPr>
        <xdr:txBody>
          <a:bodyPr vertOverflow="clip" wrap="square" lIns="18288" tIns="22860" rIns="0" bIns="0">
            <a:spAutoFit/>
          </a:bodyPr>
          <a:p>
            <a:pPr algn="l">
              <a:defRPr/>
            </a:pPr>
            <a:r>
              <a:rPr lang="en-US" cap="none" sz="1000" b="0" i="1" u="none" baseline="0">
                <a:solidFill>
                  <a:srgbClr val="000000"/>
                </a:solidFill>
                <a:latin typeface="Arial"/>
                <a:ea typeface="Arial"/>
                <a:cs typeface="Arial"/>
              </a:rPr>
              <a:t>P2</a:t>
            </a:r>
          </a:p>
        </xdr:txBody>
      </xdr:sp>
      <xdr:sp>
        <xdr:nvSpPr>
          <xdr:cNvPr id="17" name="Text Box 21"/>
          <xdr:cNvSpPr txBox="1">
            <a:spLocks noChangeArrowheads="1"/>
          </xdr:cNvSpPr>
        </xdr:nvSpPr>
        <xdr:spPr>
          <a:xfrm>
            <a:off x="793" y="237"/>
            <a:ext cx="20" cy="19"/>
          </a:xfrm>
          <a:prstGeom prst="rect">
            <a:avLst/>
          </a:prstGeom>
          <a:noFill/>
          <a:ln w="9525" cmpd="sng">
            <a:noFill/>
          </a:ln>
        </xdr:spPr>
        <xdr:txBody>
          <a:bodyPr vertOverflow="clip" wrap="square" lIns="18288" tIns="22860" rIns="0" bIns="0">
            <a:spAutoFit/>
          </a:bodyPr>
          <a:p>
            <a:pPr algn="l">
              <a:defRPr/>
            </a:pPr>
            <a:r>
              <a:rPr lang="en-US" cap="none" sz="1000" b="0" i="1" u="none" baseline="0">
                <a:solidFill>
                  <a:srgbClr val="000000"/>
                </a:solidFill>
                <a:latin typeface="Arial"/>
                <a:ea typeface="Arial"/>
                <a:cs typeface="Arial"/>
              </a:rPr>
              <a:t>P3</a:t>
            </a:r>
          </a:p>
        </xdr:txBody>
      </xdr:sp>
      <xdr:sp>
        <xdr:nvSpPr>
          <xdr:cNvPr id="18" name="Line 22"/>
          <xdr:cNvSpPr>
            <a:spLocks/>
          </xdr:cNvSpPr>
        </xdr:nvSpPr>
        <xdr:spPr>
          <a:xfrm flipH="1" flipV="1">
            <a:off x="505" y="204"/>
            <a:ext cx="12"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23"/>
          <xdr:cNvSpPr>
            <a:spLocks/>
          </xdr:cNvSpPr>
        </xdr:nvSpPr>
        <xdr:spPr>
          <a:xfrm flipV="1">
            <a:off x="732" y="205"/>
            <a:ext cx="18"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4"/>
          <xdr:cNvSpPr>
            <a:spLocks/>
          </xdr:cNvSpPr>
        </xdr:nvSpPr>
        <xdr:spPr>
          <a:xfrm flipH="1">
            <a:off x="769" y="188"/>
            <a:ext cx="2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5"/>
          <xdr:cNvSpPr>
            <a:spLocks/>
          </xdr:cNvSpPr>
        </xdr:nvSpPr>
        <xdr:spPr>
          <a:xfrm flipH="1">
            <a:off x="786" y="247"/>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twoCellAnchor>
    <xdr:from>
      <xdr:col>2</xdr:col>
      <xdr:colOff>66675</xdr:colOff>
      <xdr:row>38</xdr:row>
      <xdr:rowOff>47625</xdr:rowOff>
    </xdr:from>
    <xdr:to>
      <xdr:col>2</xdr:col>
      <xdr:colOff>895350</xdr:colOff>
      <xdr:row>39</xdr:row>
      <xdr:rowOff>123825</xdr:rowOff>
    </xdr:to>
    <xdr:sp>
      <xdr:nvSpPr>
        <xdr:cNvPr id="22" name="Text Box 33"/>
        <xdr:cNvSpPr txBox="1">
          <a:spLocks noChangeArrowheads="1"/>
        </xdr:cNvSpPr>
      </xdr:nvSpPr>
      <xdr:spPr>
        <a:xfrm>
          <a:off x="2400300" y="6200775"/>
          <a:ext cx="828675" cy="238125"/>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Result</a:t>
          </a:r>
        </a:p>
      </xdr:txBody>
    </xdr:sp>
    <xdr:clientData/>
  </xdr:twoCellAnchor>
  <xdr:twoCellAnchor>
    <xdr:from>
      <xdr:col>2</xdr:col>
      <xdr:colOff>752475</xdr:colOff>
      <xdr:row>37</xdr:row>
      <xdr:rowOff>0</xdr:rowOff>
    </xdr:from>
    <xdr:to>
      <xdr:col>3</xdr:col>
      <xdr:colOff>381000</xdr:colOff>
      <xdr:row>38</xdr:row>
      <xdr:rowOff>57150</xdr:rowOff>
    </xdr:to>
    <xdr:sp>
      <xdr:nvSpPr>
        <xdr:cNvPr id="23" name="Line 34"/>
        <xdr:cNvSpPr>
          <a:spLocks/>
        </xdr:cNvSpPr>
      </xdr:nvSpPr>
      <xdr:spPr>
        <a:xfrm flipV="1">
          <a:off x="3086100" y="5991225"/>
          <a:ext cx="63817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44</xdr:row>
      <xdr:rowOff>152400</xdr:rowOff>
    </xdr:from>
    <xdr:to>
      <xdr:col>4</xdr:col>
      <xdr:colOff>333375</xdr:colOff>
      <xdr:row>47</xdr:row>
      <xdr:rowOff>9525</xdr:rowOff>
    </xdr:to>
    <xdr:sp>
      <xdr:nvSpPr>
        <xdr:cNvPr id="24" name="AutoShape 40"/>
        <xdr:cNvSpPr>
          <a:spLocks/>
        </xdr:cNvSpPr>
      </xdr:nvSpPr>
      <xdr:spPr>
        <a:xfrm>
          <a:off x="4267200" y="7277100"/>
          <a:ext cx="2381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45</xdr:row>
      <xdr:rowOff>19050</xdr:rowOff>
    </xdr:from>
    <xdr:to>
      <xdr:col>7</xdr:col>
      <xdr:colOff>428625</xdr:colOff>
      <xdr:row>46</xdr:row>
      <xdr:rowOff>142875</xdr:rowOff>
    </xdr:to>
    <xdr:sp>
      <xdr:nvSpPr>
        <xdr:cNvPr id="25" name="Text Box 41"/>
        <xdr:cNvSpPr txBox="1">
          <a:spLocks noChangeArrowheads="1"/>
        </xdr:cNvSpPr>
      </xdr:nvSpPr>
      <xdr:spPr>
        <a:xfrm>
          <a:off x="4581525" y="7305675"/>
          <a:ext cx="2009775" cy="285750"/>
        </a:xfrm>
        <a:prstGeom prst="rect">
          <a:avLst/>
        </a:prstGeom>
        <a:solidFill>
          <a:srgbClr val="FFFFFF"/>
        </a:solidFill>
        <a:ln w="9525" cmpd="sng">
          <a:noFill/>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Close enough, although not perfect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114300</xdr:rowOff>
    </xdr:from>
    <xdr:to>
      <xdr:col>4</xdr:col>
      <xdr:colOff>95250</xdr:colOff>
      <xdr:row>3</xdr:row>
      <xdr:rowOff>66675</xdr:rowOff>
    </xdr:to>
    <xdr:sp>
      <xdr:nvSpPr>
        <xdr:cNvPr id="1" name="Text Box 1"/>
        <xdr:cNvSpPr txBox="1">
          <a:spLocks noChangeArrowheads="1"/>
        </xdr:cNvSpPr>
      </xdr:nvSpPr>
      <xdr:spPr>
        <a:xfrm>
          <a:off x="800100" y="114300"/>
          <a:ext cx="3676650"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Pressure Drop due to Friction for Water-Steam Mixture</a:t>
          </a:r>
        </a:p>
      </xdr:txBody>
    </xdr:sp>
    <xdr:clientData/>
  </xdr:twoCellAnchor>
  <xdr:twoCellAnchor editAs="oneCell">
    <xdr:from>
      <xdr:col>6</xdr:col>
      <xdr:colOff>0</xdr:colOff>
      <xdr:row>36</xdr:row>
      <xdr:rowOff>104775</xdr:rowOff>
    </xdr:from>
    <xdr:to>
      <xdr:col>10</xdr:col>
      <xdr:colOff>419100</xdr:colOff>
      <xdr:row>80</xdr:row>
      <xdr:rowOff>66675</xdr:rowOff>
    </xdr:to>
    <xdr:pic>
      <xdr:nvPicPr>
        <xdr:cNvPr id="2" name="Picture 10"/>
        <xdr:cNvPicPr preferRelativeResize="1">
          <a:picLocks noChangeAspect="1"/>
        </xdr:cNvPicPr>
      </xdr:nvPicPr>
      <xdr:blipFill>
        <a:blip r:embed="rId1"/>
        <a:stretch>
          <a:fillRect/>
        </a:stretch>
      </xdr:blipFill>
      <xdr:spPr>
        <a:xfrm>
          <a:off x="6010275" y="5934075"/>
          <a:ext cx="4029075" cy="7086600"/>
        </a:xfrm>
        <a:prstGeom prst="rect">
          <a:avLst/>
        </a:prstGeom>
        <a:noFill/>
        <a:ln w="1" cmpd="sng">
          <a:noFill/>
        </a:ln>
      </xdr:spPr>
    </xdr:pic>
    <xdr:clientData/>
  </xdr:twoCellAnchor>
  <xdr:twoCellAnchor>
    <xdr:from>
      <xdr:col>0</xdr:col>
      <xdr:colOff>190500</xdr:colOff>
      <xdr:row>37</xdr:row>
      <xdr:rowOff>66675</xdr:rowOff>
    </xdr:from>
    <xdr:to>
      <xdr:col>5</xdr:col>
      <xdr:colOff>619125</xdr:colOff>
      <xdr:row>76</xdr:row>
      <xdr:rowOff>76200</xdr:rowOff>
    </xdr:to>
    <xdr:graphicFrame>
      <xdr:nvGraphicFramePr>
        <xdr:cNvPr id="3" name="Chart 11"/>
        <xdr:cNvGraphicFramePr/>
      </xdr:nvGraphicFramePr>
      <xdr:xfrm>
        <a:off x="190500" y="6057900"/>
        <a:ext cx="5638800" cy="6324600"/>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104775</xdr:colOff>
      <xdr:row>81</xdr:row>
      <xdr:rowOff>47625</xdr:rowOff>
    </xdr:from>
    <xdr:to>
      <xdr:col>10</xdr:col>
      <xdr:colOff>495300</xdr:colOff>
      <xdr:row>119</xdr:row>
      <xdr:rowOff>47625</xdr:rowOff>
    </xdr:to>
    <xdr:pic>
      <xdr:nvPicPr>
        <xdr:cNvPr id="4" name="Picture 13"/>
        <xdr:cNvPicPr preferRelativeResize="1">
          <a:picLocks noChangeAspect="1"/>
        </xdr:cNvPicPr>
      </xdr:nvPicPr>
      <xdr:blipFill>
        <a:blip r:embed="rId3"/>
        <a:stretch>
          <a:fillRect/>
        </a:stretch>
      </xdr:blipFill>
      <xdr:spPr>
        <a:xfrm>
          <a:off x="6115050" y="13163550"/>
          <a:ext cx="4000500" cy="6153150"/>
        </a:xfrm>
        <a:prstGeom prst="rect">
          <a:avLst/>
        </a:prstGeom>
        <a:noFill/>
        <a:ln w="1" cmpd="sng">
          <a:noFill/>
        </a:ln>
      </xdr:spPr>
    </xdr:pic>
    <xdr:clientData/>
  </xdr:twoCellAnchor>
  <xdr:twoCellAnchor>
    <xdr:from>
      <xdr:col>0</xdr:col>
      <xdr:colOff>238125</xdr:colOff>
      <xdr:row>81</xdr:row>
      <xdr:rowOff>0</xdr:rowOff>
    </xdr:from>
    <xdr:to>
      <xdr:col>5</xdr:col>
      <xdr:colOff>676275</xdr:colOff>
      <xdr:row>120</xdr:row>
      <xdr:rowOff>19050</xdr:rowOff>
    </xdr:to>
    <xdr:graphicFrame>
      <xdr:nvGraphicFramePr>
        <xdr:cNvPr id="5" name="Chart 14"/>
        <xdr:cNvGraphicFramePr/>
      </xdr:nvGraphicFramePr>
      <xdr:xfrm>
        <a:off x="238125" y="13115925"/>
        <a:ext cx="5648325" cy="6334125"/>
      </xdr:xfrm>
      <a:graphic>
        <a:graphicData uri="http://schemas.openxmlformats.org/drawingml/2006/chart">
          <c:chart xmlns:c="http://schemas.openxmlformats.org/drawingml/2006/chart" r:id="rId4"/>
        </a:graphicData>
      </a:graphic>
    </xdr:graphicFrame>
    <xdr:clientData/>
  </xdr:twoCellAnchor>
  <xdr:twoCellAnchor editAs="oneCell">
    <xdr:from>
      <xdr:col>5</xdr:col>
      <xdr:colOff>476250</xdr:colOff>
      <xdr:row>122</xdr:row>
      <xdr:rowOff>133350</xdr:rowOff>
    </xdr:from>
    <xdr:to>
      <xdr:col>10</xdr:col>
      <xdr:colOff>66675</xdr:colOff>
      <xdr:row>157</xdr:row>
      <xdr:rowOff>85725</xdr:rowOff>
    </xdr:to>
    <xdr:pic>
      <xdr:nvPicPr>
        <xdr:cNvPr id="6" name="Picture 15"/>
        <xdr:cNvPicPr preferRelativeResize="1">
          <a:picLocks noChangeAspect="1"/>
        </xdr:cNvPicPr>
      </xdr:nvPicPr>
      <xdr:blipFill>
        <a:blip r:embed="rId5"/>
        <a:stretch>
          <a:fillRect/>
        </a:stretch>
      </xdr:blipFill>
      <xdr:spPr>
        <a:xfrm>
          <a:off x="5686425" y="19888200"/>
          <a:ext cx="4000500" cy="5619750"/>
        </a:xfrm>
        <a:prstGeom prst="rect">
          <a:avLst/>
        </a:prstGeom>
        <a:noFill/>
        <a:ln w="1" cmpd="sng">
          <a:noFill/>
        </a:ln>
      </xdr:spPr>
    </xdr:pic>
    <xdr:clientData/>
  </xdr:twoCellAnchor>
  <xdr:twoCellAnchor>
    <xdr:from>
      <xdr:col>0</xdr:col>
      <xdr:colOff>171450</xdr:colOff>
      <xdr:row>121</xdr:row>
      <xdr:rowOff>95250</xdr:rowOff>
    </xdr:from>
    <xdr:to>
      <xdr:col>5</xdr:col>
      <xdr:colOff>619125</xdr:colOff>
      <xdr:row>160</xdr:row>
      <xdr:rowOff>123825</xdr:rowOff>
    </xdr:to>
    <xdr:graphicFrame>
      <xdr:nvGraphicFramePr>
        <xdr:cNvPr id="7" name="Chart 16"/>
        <xdr:cNvGraphicFramePr/>
      </xdr:nvGraphicFramePr>
      <xdr:xfrm>
        <a:off x="171450" y="19688175"/>
        <a:ext cx="5657850" cy="6343650"/>
      </xdr:xfrm>
      <a:graphic>
        <a:graphicData uri="http://schemas.openxmlformats.org/drawingml/2006/chart">
          <c:chart xmlns:c="http://schemas.openxmlformats.org/drawingml/2006/chart" r:id="rId6"/>
        </a:graphicData>
      </a:graphic>
    </xdr:graphicFrame>
    <xdr:clientData/>
  </xdr:twoCellAnchor>
  <xdr:twoCellAnchor>
    <xdr:from>
      <xdr:col>11</xdr:col>
      <xdr:colOff>123825</xdr:colOff>
      <xdr:row>3</xdr:row>
      <xdr:rowOff>123825</xdr:rowOff>
    </xdr:from>
    <xdr:to>
      <xdr:col>15</xdr:col>
      <xdr:colOff>581025</xdr:colOff>
      <xdr:row>26</xdr:row>
      <xdr:rowOff>123825</xdr:rowOff>
    </xdr:to>
    <xdr:sp>
      <xdr:nvSpPr>
        <xdr:cNvPr id="8" name="Text Box 17"/>
        <xdr:cNvSpPr txBox="1">
          <a:spLocks noChangeArrowheads="1"/>
        </xdr:cNvSpPr>
      </xdr:nvSpPr>
      <xdr:spPr>
        <a:xfrm>
          <a:off x="10582275" y="609600"/>
          <a:ext cx="3514725" cy="37242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User inputs are in 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Temperature, viscosity, and density are determined from correlation parameters in lookup table (down at the bottom of the worksheet). These are affected by the inlet pressure variable. It is assumed that the temperature is the saturation temperature at the pressure.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Calculations for Re, f, and pressure drop are performed in VBA subroutines -- other worksheets in this workbook verify that those subroutines are correct.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Clicking on the "Re-Run All Inputs" button at cell L35 runs a macro that runs the calculation on various combinations of inputs, based on the charts in IPC2004-721.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seems like the only way to get a straight line (per the reference) for Figure 7 (Row 123) is to do the friction factor calculations once, then recalculate phi for a range of qualities (0 to 1) without recomputing the mixture viscosity and density for each quality.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engsoftwar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2.x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6.vml" /><Relationship Id="rId3" Type="http://schemas.openxmlformats.org/officeDocument/2006/relationships/drawing" Target="../drawings/drawing13.xml" /><Relationship Id="rId4"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B56"/>
  <sheetViews>
    <sheetView tabSelected="1" zoomScalePageLayoutView="0" workbookViewId="0" topLeftCell="A1">
      <selection activeCell="A1" sqref="A1"/>
    </sheetView>
  </sheetViews>
  <sheetFormatPr defaultColWidth="9.140625" defaultRowHeight="12.75"/>
  <cols>
    <col min="1" max="1" width="103.00390625" style="46" customWidth="1"/>
    <col min="2" max="2" width="90.7109375" style="46" customWidth="1"/>
    <col min="3" max="16384" width="9.140625" style="46" customWidth="1"/>
  </cols>
  <sheetData>
    <row r="1" ht="12.75">
      <c r="A1" s="240"/>
    </row>
    <row r="2" ht="12.75">
      <c r="B2" s="203"/>
    </row>
    <row r="3" ht="12.75">
      <c r="A3" s="45" t="s">
        <v>76</v>
      </c>
    </row>
    <row r="4" ht="12.75">
      <c r="A4" s="45" t="s">
        <v>267</v>
      </c>
    </row>
    <row r="5" ht="12.75">
      <c r="A5" s="45" t="s">
        <v>77</v>
      </c>
    </row>
    <row r="6" ht="12.75"/>
    <row r="7" ht="12.75"/>
    <row r="8" ht="12.75"/>
    <row r="9" ht="12.75"/>
    <row r="10" ht="12.75">
      <c r="A10" s="46" t="s">
        <v>78</v>
      </c>
    </row>
    <row r="11" ht="12.75">
      <c r="A11" s="46" t="s">
        <v>79</v>
      </c>
    </row>
    <row r="12" ht="12.75"/>
    <row r="13" ht="12.75">
      <c r="A13" s="46" t="s">
        <v>80</v>
      </c>
    </row>
    <row r="14" ht="12.75">
      <c r="A14" s="46" t="s">
        <v>81</v>
      </c>
    </row>
    <row r="16" spans="1:2" ht="12.75">
      <c r="A16" s="47" t="s">
        <v>82</v>
      </c>
      <c r="B16" s="48" t="s">
        <v>83</v>
      </c>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c r="A51" s="46" t="s">
        <v>231</v>
      </c>
    </row>
    <row r="52" ht="12.75">
      <c r="A52" s="204" t="s">
        <v>232</v>
      </c>
    </row>
    <row r="53" ht="25.5">
      <c r="A53" s="205" t="s">
        <v>233</v>
      </c>
    </row>
    <row r="54" ht="14.25">
      <c r="A54" s="206"/>
    </row>
    <row r="55" ht="14.25">
      <c r="A55" s="206"/>
    </row>
    <row r="56" ht="14.25">
      <c r="A56" s="206"/>
    </row>
  </sheetData>
  <sheetProtection/>
  <hyperlinks>
    <hyperlink ref="A52" r:id="rId1" display="www.chemengsoftware.com"/>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sheetPr codeName="Sheet3"/>
  <dimension ref="A1:R47"/>
  <sheetViews>
    <sheetView zoomScalePageLayoutView="0" workbookViewId="0" topLeftCell="A1">
      <selection activeCell="A1" sqref="A1"/>
    </sheetView>
  </sheetViews>
  <sheetFormatPr defaultColWidth="9.140625" defaultRowHeight="12.75"/>
  <cols>
    <col min="2" max="2" width="25.8515625" style="0" customWidth="1"/>
    <col min="3" max="3" width="18.28125" style="0" customWidth="1"/>
    <col min="4" max="5" width="12.421875" style="0" customWidth="1"/>
    <col min="6" max="6" width="12.00390625" style="0" customWidth="1"/>
    <col min="7" max="7" width="10.57421875" style="0" customWidth="1"/>
    <col min="8" max="8" width="13.421875" style="0" customWidth="1"/>
    <col min="9" max="9" width="11.140625" style="0" customWidth="1"/>
    <col min="14" max="14" width="9.28125" style="0" bestFit="1" customWidth="1"/>
    <col min="15" max="16" width="10.28125" style="0" bestFit="1" customWidth="1"/>
  </cols>
  <sheetData>
    <row r="1" spans="7:8" ht="12.75">
      <c r="G1" t="s">
        <v>138</v>
      </c>
      <c r="H1" t="s">
        <v>150</v>
      </c>
    </row>
    <row r="3" ht="12.75">
      <c r="F3" s="102"/>
    </row>
    <row r="4" ht="12.75">
      <c r="F4" s="103"/>
    </row>
    <row r="5" spans="6:8" ht="12.75">
      <c r="F5" s="103"/>
      <c r="H5" t="s">
        <v>209</v>
      </c>
    </row>
    <row r="6" spans="1:8" ht="12.75">
      <c r="A6" s="1" t="s">
        <v>7</v>
      </c>
      <c r="B6" t="s">
        <v>96</v>
      </c>
      <c r="D6" s="102" t="s">
        <v>98</v>
      </c>
      <c r="F6" s="145"/>
      <c r="H6" s="177" t="str">
        <f>'2-Phase Lock'!H6</f>
        <v>R12</v>
      </c>
    </row>
    <row r="7" spans="2:8" ht="12.75">
      <c r="B7" t="s">
        <v>110</v>
      </c>
      <c r="C7" t="s">
        <v>111</v>
      </c>
      <c r="D7" s="103">
        <v>100</v>
      </c>
      <c r="F7" s="104"/>
      <c r="H7" s="106">
        <f>'2-Phase Lock'!H7</f>
        <v>2000</v>
      </c>
    </row>
    <row r="8" spans="2:8" ht="12.75">
      <c r="B8" t="s">
        <v>94</v>
      </c>
      <c r="C8" t="s">
        <v>109</v>
      </c>
      <c r="D8" s="103">
        <v>0.5</v>
      </c>
      <c r="F8" s="104"/>
      <c r="H8" s="106">
        <f>'2-Phase Lock'!H8</f>
        <v>0.9</v>
      </c>
    </row>
    <row r="9" spans="2:8" ht="12.75">
      <c r="B9" t="s">
        <v>75</v>
      </c>
      <c r="C9" t="s">
        <v>136</v>
      </c>
      <c r="D9" s="145">
        <v>9.4</v>
      </c>
      <c r="F9" s="105"/>
      <c r="H9" s="178">
        <f>'2-Phase Lock'!H9</f>
        <v>6</v>
      </c>
    </row>
    <row r="10" spans="2:8" ht="12.75">
      <c r="B10" t="s">
        <v>0</v>
      </c>
      <c r="C10" t="s">
        <v>9</v>
      </c>
      <c r="D10" s="104">
        <v>10</v>
      </c>
      <c r="H10" s="106">
        <f>'2-Phase Lock'!H10</f>
        <v>50</v>
      </c>
    </row>
    <row r="11" spans="2:8" ht="12.75">
      <c r="B11" t="s">
        <v>39</v>
      </c>
      <c r="C11" t="s">
        <v>10</v>
      </c>
      <c r="D11" s="104">
        <v>1</v>
      </c>
      <c r="H11" s="106">
        <f>'2-Phase Lock'!H11</f>
        <v>1</v>
      </c>
    </row>
    <row r="12" spans="2:9" ht="12.75">
      <c r="B12" t="s">
        <v>18</v>
      </c>
      <c r="C12" t="s">
        <v>10</v>
      </c>
      <c r="D12" s="105">
        <v>1.5E-06</v>
      </c>
      <c r="E12" t="s">
        <v>140</v>
      </c>
      <c r="H12" s="179">
        <f>'2-Phase Lock'!H12</f>
        <v>1.5E-06</v>
      </c>
      <c r="I12" t="s">
        <v>140</v>
      </c>
    </row>
    <row r="14" ht="12.75">
      <c r="A14" s="1" t="s">
        <v>115</v>
      </c>
    </row>
    <row r="15" spans="1:9" ht="12.75">
      <c r="A15" s="1"/>
      <c r="B15" s="6" t="s">
        <v>29</v>
      </c>
      <c r="C15" s="6" t="s">
        <v>30</v>
      </c>
      <c r="D15" s="7" t="s">
        <v>84</v>
      </c>
      <c r="E15" s="7" t="s">
        <v>125</v>
      </c>
      <c r="H15" s="7" t="s">
        <v>84</v>
      </c>
      <c r="I15" s="7" t="s">
        <v>125</v>
      </c>
    </row>
    <row r="16" spans="2:8" ht="12.75">
      <c r="B16" t="s">
        <v>116</v>
      </c>
      <c r="C16" t="s">
        <v>101</v>
      </c>
      <c r="D16">
        <f>PI()*((D10/1000)/2)^2</f>
        <v>7.853981633974483E-05</v>
      </c>
      <c r="H16">
        <f>PI()*((H10/1000)/2)^2</f>
        <v>0.001963495408493621</v>
      </c>
    </row>
    <row r="17" spans="2:9" ht="12.75">
      <c r="B17" t="s">
        <v>93</v>
      </c>
      <c r="C17" t="s">
        <v>13</v>
      </c>
      <c r="D17" s="106">
        <f>D7*3600*D16*(1-D8)</f>
        <v>14.137166941154069</v>
      </c>
      <c r="E17" s="55">
        <f>D7*3600*D16*D8</f>
        <v>14.137166941154069</v>
      </c>
      <c r="H17" s="106">
        <f>H7*3600*H16*(1-H8)</f>
        <v>1413.7166941154067</v>
      </c>
      <c r="I17" s="55">
        <f>H7*3600*H16*H8</f>
        <v>12723.450247038663</v>
      </c>
    </row>
    <row r="18" spans="2:9" ht="12.75">
      <c r="B18" t="s">
        <v>75</v>
      </c>
      <c r="C18" t="s">
        <v>14</v>
      </c>
      <c r="D18" s="106">
        <f>D9*100</f>
        <v>940</v>
      </c>
      <c r="E18" s="44">
        <f>D18</f>
        <v>940</v>
      </c>
      <c r="H18" s="106">
        <f>H9*100</f>
        <v>600</v>
      </c>
      <c r="I18" s="44">
        <f>H18</f>
        <v>600</v>
      </c>
    </row>
    <row r="19" spans="2:9" ht="12.75">
      <c r="B19" t="s">
        <v>1</v>
      </c>
      <c r="C19" t="s">
        <v>26</v>
      </c>
      <c r="D19" s="107">
        <f>VLOOKUP($D$6,props,4)/(VLOOKUP($D$6,props,3)-LOG(D18*7.500617))-VLOOKUP($D$6,props,5)</f>
        <v>39.15968275679745</v>
      </c>
      <c r="E19" s="13">
        <f>D19</f>
        <v>39.15968275679745</v>
      </c>
      <c r="H19" s="107">
        <f>VLOOKUP($H$6,props,4)/(VLOOKUP($H$6,props,3)-LOG(H18*7.500617))-VLOOKUP($H$6,props,5)</f>
        <v>22.049011232325256</v>
      </c>
      <c r="I19" s="13">
        <f>H19</f>
        <v>22.049011232325256</v>
      </c>
    </row>
    <row r="20" spans="2:9" ht="12.75">
      <c r="B20" t="s">
        <v>16</v>
      </c>
      <c r="C20" t="s">
        <v>22</v>
      </c>
      <c r="D20" s="13">
        <f>EXP(VLOOKUP($D$6,props,6)+VLOOKUP($D$6,props,7)/(VLOOKUP($D$6,props,8)+$D$19))</f>
        <v>0.1731295447466742</v>
      </c>
      <c r="E20" s="53">
        <f>EXP(VLOOKUP($D$6,props,9)+VLOOKUP($D$6,props,10)/(VLOOKUP($D$6,props,11)+$D$19))</f>
        <v>0.014339652037776115</v>
      </c>
      <c r="H20" s="13">
        <f>EXP(VLOOKUP($H$6,props,6)+VLOOKUP($H$6,props,7)/(VLOOKUP($H$6,props,8)+$H$19))</f>
        <v>0.20475995814146222</v>
      </c>
      <c r="I20" s="53">
        <f>EXP(VLOOKUP($H$6,props,9)+VLOOKUP($H$6,props,10)/(VLOOKUP($H$6,props,11)+$H$19))</f>
        <v>0.013204586655628589</v>
      </c>
    </row>
    <row r="21" spans="2:9" ht="12.75">
      <c r="B21" t="s">
        <v>24</v>
      </c>
      <c r="C21" t="s">
        <v>27</v>
      </c>
      <c r="D21" s="55">
        <f>VLOOKUP($D$6,props,16)</f>
        <v>120.91</v>
      </c>
      <c r="E21" s="44">
        <f>D21</f>
        <v>120.91</v>
      </c>
      <c r="H21" s="55">
        <f>VLOOKUP($H$6,props,16)</f>
        <v>120.91</v>
      </c>
      <c r="I21" s="44">
        <f>H21</f>
        <v>120.91</v>
      </c>
    </row>
    <row r="22" spans="2:9" ht="12.75">
      <c r="B22" t="s">
        <v>5</v>
      </c>
      <c r="C22" t="s">
        <v>11</v>
      </c>
      <c r="D22" s="44">
        <f>(VLOOKUP($D$6,props,12)*$D$19+VLOOKUP($D$6,props,13))</f>
        <v>1272.4522123007914</v>
      </c>
      <c r="E22" s="140">
        <f>($D$18*1000)*$D$21/(8314.47*($D$19+273.15))</f>
        <v>43.76934574797258</v>
      </c>
      <c r="H22" s="44">
        <f>(VLOOKUP($H$6,props,12)*$H$19+VLOOKUP($H$6,props,13))</f>
        <v>1325.3004955908962</v>
      </c>
      <c r="I22" s="140">
        <f>($H$18*1000)*$H$21/(8314.47*($H$19+273.15))</f>
        <v>29.55724846750082</v>
      </c>
    </row>
    <row r="23" spans="2:9" ht="12.75">
      <c r="B23" t="s">
        <v>4</v>
      </c>
      <c r="D23" s="13"/>
      <c r="E23" s="50">
        <v>1.17</v>
      </c>
      <c r="H23" s="13"/>
      <c r="I23" s="50">
        <v>1.31</v>
      </c>
    </row>
    <row r="24" spans="2:9" ht="12.75">
      <c r="B24" t="s">
        <v>218</v>
      </c>
      <c r="C24" t="s">
        <v>12</v>
      </c>
      <c r="E24" s="50">
        <f>Flux2/($D$8/$E$22+(1-$D$8)/$D$22)^(-1)</f>
        <v>1.1816462144142925</v>
      </c>
      <c r="I24" s="50">
        <f>H7/($H$8/$I$22+(1-$H$8)/$H$22)^(-1)</f>
        <v>61.049676591752515</v>
      </c>
    </row>
    <row r="25" spans="2:9" ht="12.75">
      <c r="B25" t="s">
        <v>221</v>
      </c>
      <c r="C25" t="s">
        <v>12</v>
      </c>
      <c r="E25" s="50">
        <f>(E23*8334*(D19+273.15)/E21)^0.5</f>
        <v>158.70159549960619</v>
      </c>
      <c r="I25" s="50">
        <f>(I23*8334*(H19+273.15)/I21)^0.5</f>
        <v>163.26336165593236</v>
      </c>
    </row>
    <row r="26" ht="12.75">
      <c r="A26" s="1" t="s">
        <v>15</v>
      </c>
    </row>
    <row r="27" spans="2:9" ht="12.75">
      <c r="B27" t="s">
        <v>33</v>
      </c>
      <c r="C27" t="s">
        <v>34</v>
      </c>
      <c r="D27" s="99">
        <f>NReSI(D17,D20,D10,D22)</f>
        <v>2888.0108283442964</v>
      </c>
      <c r="E27" s="99">
        <f>NReSI(E17,E20,D10,E22)</f>
        <v>34868.34956786418</v>
      </c>
      <c r="H27" s="99">
        <f>NReSI(H17,H20,H10,H22)</f>
        <v>48837.673583550844</v>
      </c>
      <c r="I27" s="99">
        <f>NReSI(I17,I20,H10,I22)</f>
        <v>6815813.499916336</v>
      </c>
    </row>
    <row r="28" spans="4:8" ht="12.75">
      <c r="D28" s="100"/>
      <c r="H28" s="100"/>
    </row>
    <row r="29" spans="2:9" ht="12.75">
      <c r="B29" t="s">
        <v>19</v>
      </c>
      <c r="C29" t="s">
        <v>34</v>
      </c>
      <c r="D29" s="101">
        <f>FrictionSI(D12,D27,D10)</f>
        <v>0.04237499246312723</v>
      </c>
      <c r="E29" s="101">
        <f>FrictionSI(D12,E27,D10)</f>
        <v>0.023067520624449844</v>
      </c>
      <c r="H29" s="101">
        <f>FrictionSI(H12,H27,H10)</f>
        <v>0.021008339500724445</v>
      </c>
      <c r="I29" s="101">
        <f>FrictionSI(H12,I27,H10)</f>
        <v>0.010349075858144298</v>
      </c>
    </row>
    <row r="30" spans="4:8" ht="12.75">
      <c r="D30" s="100"/>
      <c r="F30" s="142"/>
      <c r="H30" s="100"/>
    </row>
    <row r="31" spans="2:9" ht="12.75">
      <c r="B31" t="s">
        <v>95</v>
      </c>
      <c r="D31" s="151">
        <f>D18-PDsi(D17,D18,,D10,D11,D29,D22)</f>
        <v>0.004162729403446974</v>
      </c>
      <c r="E31" s="150">
        <f>E18-PDsi(E17,E18,,D10,D11,E29,,E19,E21,E23)</f>
        <v>0.07104018653467392</v>
      </c>
      <c r="F31" s="141"/>
      <c r="H31" s="151">
        <f>H18-PDsi(H17,H18,,H10,H11,H29,H22)</f>
        <v>0.006340702440638779</v>
      </c>
      <c r="I31" s="150">
        <f>I18-PDsi(I17,I18,,H10,H11,I29,,I19,I21,I23)</f>
        <v>15.493621463027921</v>
      </c>
    </row>
    <row r="32" spans="4:8" ht="12.75">
      <c r="D32" s="50"/>
      <c r="H32" s="50"/>
    </row>
    <row r="33" spans="2:8" ht="12.75">
      <c r="B33" t="s">
        <v>142</v>
      </c>
      <c r="D33" s="13">
        <f>((0.158*D7^1.75*(1-D8)^1.75*(D20*0.001)^0.25/((D10/1000)^1.25*D22))*(1+(D8/(1-D8))^0.7368*(D22/E22)^0.4211*(E20/D20)^0.1053)^2.375)/1000</f>
        <v>0.1264625025625673</v>
      </c>
      <c r="H33" s="13">
        <f>((0.158*H7^1.75*(1-H8)^1.75*(H20*0.001)^0.25/((H10/1000)^1.25*H22))*(1+(H8/(1-H8))^0.7368*(H22/I22)^0.4211*(I20/H20)^0.1053)^2.375)/1000</f>
        <v>7.669035280438555</v>
      </c>
    </row>
    <row r="34" spans="2:8" ht="12.75">
      <c r="B34" t="s">
        <v>143</v>
      </c>
      <c r="D34" s="13">
        <f>((0.158*D7^1.75*(1-D8)^1.75*(D20*0.001)^0.25)/((D10/1000)^1.25*D22)*(1+(D8/(1-D8))^0.4375*(D22/E22)^0.25*(E20/D20)^0.0625)^4)/1000</f>
        <v>0.3372052736813284</v>
      </c>
      <c r="H34" s="13">
        <f>((0.158*H7^1.75*(1-H8)^1.75*(H20*0.001)^0.25)/((H10/1000)^1.25*H22)*(1+(H8/(1-H8))^0.4375*(H22/I22)^0.25*(I20/H20)^0.0625)^4)/1000</f>
        <v>12.939634307267903</v>
      </c>
    </row>
    <row r="36" spans="2:8" ht="12.75">
      <c r="B36" t="s">
        <v>144</v>
      </c>
      <c r="C36" t="s">
        <v>14</v>
      </c>
      <c r="D36" s="50">
        <f>(D33+D34)/2</f>
        <v>0.23183388812194786</v>
      </c>
      <c r="H36" s="169">
        <f>(H33+H34)/2</f>
        <v>10.30433479385323</v>
      </c>
    </row>
    <row r="37" spans="3:17" ht="12.75">
      <c r="C37" s="152" t="s">
        <v>149</v>
      </c>
      <c r="D37" s="13">
        <f>D36*1000</f>
        <v>231.83388812194787</v>
      </c>
      <c r="H37" s="13"/>
      <c r="P37" t="s">
        <v>153</v>
      </c>
      <c r="Q37">
        <f>(E23*8334*(D19+273.15)/E21)^0.5</f>
        <v>158.70159549960619</v>
      </c>
    </row>
    <row r="39" spans="13:14" ht="12.75">
      <c r="M39" t="s">
        <v>94</v>
      </c>
      <c r="N39">
        <v>0.5</v>
      </c>
    </row>
    <row r="41" spans="13:18" ht="12.75">
      <c r="M41" t="s">
        <v>139</v>
      </c>
      <c r="N41" t="s">
        <v>151</v>
      </c>
      <c r="O41" t="s">
        <v>144</v>
      </c>
      <c r="P41" t="s">
        <v>152</v>
      </c>
      <c r="Q41" t="s">
        <v>5</v>
      </c>
      <c r="R41" t="s">
        <v>145</v>
      </c>
    </row>
    <row r="42" spans="13:18" ht="12.75">
      <c r="M42">
        <v>20</v>
      </c>
      <c r="N42" s="153">
        <v>7.564221963084819</v>
      </c>
      <c r="O42" s="153">
        <v>13.866900881957259</v>
      </c>
      <c r="P42" s="153">
        <v>20.1695798008297</v>
      </c>
      <c r="Q42">
        <f>($D$8/$E$22+(1-$D$8)/$D$22)^(-1)</f>
        <v>84.62769886633714</v>
      </c>
      <c r="R42">
        <f aca="true" t="shared" si="0" ref="R42:R47">M42/Q$42</f>
        <v>0.2363292428828585</v>
      </c>
    </row>
    <row r="43" spans="13:18" ht="12.75">
      <c r="M43">
        <v>80</v>
      </c>
      <c r="N43" s="153">
        <v>85.57940231195984</v>
      </c>
      <c r="O43" s="153">
        <v>156.88607436277903</v>
      </c>
      <c r="P43" s="153">
        <v>228.19274641359814</v>
      </c>
      <c r="R43">
        <f t="shared" si="0"/>
        <v>0.945316971531434</v>
      </c>
    </row>
    <row r="44" spans="13:18" ht="12.75">
      <c r="M44">
        <v>200</v>
      </c>
      <c r="N44" s="153">
        <v>425.3674602755062</v>
      </c>
      <c r="O44" s="153">
        <v>779.7931418243068</v>
      </c>
      <c r="P44" s="153">
        <v>1134.2188233731072</v>
      </c>
      <c r="R44">
        <f t="shared" si="0"/>
        <v>2.363292428828585</v>
      </c>
    </row>
    <row r="45" spans="13:18" ht="12.75">
      <c r="M45">
        <v>400</v>
      </c>
      <c r="N45" s="153">
        <v>1430.7598900449993</v>
      </c>
      <c r="O45" s="153">
        <v>2622.9010303979626</v>
      </c>
      <c r="P45" s="153">
        <v>3815.042170750926</v>
      </c>
      <c r="R45">
        <f t="shared" si="0"/>
        <v>4.72658485765717</v>
      </c>
    </row>
    <row r="46" spans="13:18" ht="12.75">
      <c r="M46">
        <v>600</v>
      </c>
      <c r="N46" s="153">
        <v>2908.8843824908395</v>
      </c>
      <c r="O46" s="153">
        <v>5332.63190926033</v>
      </c>
      <c r="P46" s="153">
        <v>7756.379436029821</v>
      </c>
      <c r="R46">
        <f t="shared" si="0"/>
        <v>7.0898772864857555</v>
      </c>
    </row>
    <row r="47" spans="13:18" ht="12.75">
      <c r="M47">
        <v>1000</v>
      </c>
      <c r="N47" s="153">
        <v>7111.5091277921965</v>
      </c>
      <c r="O47" s="153">
        <v>13036.97758705272</v>
      </c>
      <c r="P47" s="153">
        <v>18962.446046313242</v>
      </c>
      <c r="R47">
        <f t="shared" si="0"/>
        <v>11.816462144142925</v>
      </c>
    </row>
  </sheetData>
  <sheetProtection/>
  <printOptions/>
  <pageMargins left="0.75" right="0.75" top="1" bottom="1" header="0.5" footer="0.5"/>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Sheet14"/>
  <dimension ref="A1:P47"/>
  <sheetViews>
    <sheetView zoomScalePageLayoutView="0" workbookViewId="0" topLeftCell="A1">
      <selection activeCell="A1" sqref="A1"/>
    </sheetView>
  </sheetViews>
  <sheetFormatPr defaultColWidth="9.140625" defaultRowHeight="12.75"/>
  <cols>
    <col min="2" max="2" width="25.8515625" style="0" customWidth="1"/>
    <col min="3" max="3" width="18.28125" style="0" customWidth="1"/>
    <col min="4" max="5" width="12.421875" style="0" customWidth="1"/>
    <col min="6" max="6" width="12.00390625" style="0" customWidth="1"/>
    <col min="7" max="7" width="10.57421875" style="0" customWidth="1"/>
    <col min="8" max="8" width="13.421875" style="0" customWidth="1"/>
    <col min="9" max="9" width="9.7109375" style="0" bestFit="1" customWidth="1"/>
    <col min="13" max="13" width="10.7109375" style="0" bestFit="1" customWidth="1"/>
    <col min="14" max="14" width="9.7109375" style="0" bestFit="1" customWidth="1"/>
    <col min="15" max="16" width="10.28125" style="0" bestFit="1" customWidth="1"/>
  </cols>
  <sheetData>
    <row r="1" spans="7:8" ht="12.75">
      <c r="G1" t="s">
        <v>138</v>
      </c>
      <c r="H1" t="s">
        <v>213</v>
      </c>
    </row>
    <row r="3" ht="12.75">
      <c r="F3" s="102"/>
    </row>
    <row r="4" spans="6:13" ht="12.75">
      <c r="F4" s="103"/>
      <c r="M4" t="s">
        <v>156</v>
      </c>
    </row>
    <row r="5" spans="6:13" ht="12.75">
      <c r="F5" s="103"/>
      <c r="H5" t="s">
        <v>209</v>
      </c>
      <c r="M5" t="s">
        <v>228</v>
      </c>
    </row>
    <row r="6" spans="1:13" ht="12.75">
      <c r="A6" s="1" t="s">
        <v>7</v>
      </c>
      <c r="B6" t="s">
        <v>96</v>
      </c>
      <c r="D6" s="102" t="s">
        <v>98</v>
      </c>
      <c r="F6" s="145"/>
      <c r="H6" s="177" t="str">
        <f>'2-Phase Lock'!H6</f>
        <v>R12</v>
      </c>
      <c r="M6" s="177" t="s">
        <v>229</v>
      </c>
    </row>
    <row r="7" spans="2:13" ht="12.75">
      <c r="B7" t="s">
        <v>110</v>
      </c>
      <c r="C7" t="s">
        <v>111</v>
      </c>
      <c r="D7" s="103">
        <v>100</v>
      </c>
      <c r="F7" s="104"/>
      <c r="H7" s="106">
        <f>'2-Phase Lock'!H7</f>
        <v>2000</v>
      </c>
      <c r="M7" s="106">
        <v>591</v>
      </c>
    </row>
    <row r="8" spans="2:13" ht="12.75">
      <c r="B8" t="s">
        <v>94</v>
      </c>
      <c r="C8" t="s">
        <v>109</v>
      </c>
      <c r="D8" s="103">
        <v>0.5</v>
      </c>
      <c r="F8" s="104"/>
      <c r="H8" s="106">
        <f>'2-Phase Lock'!H8</f>
        <v>0.9</v>
      </c>
      <c r="M8" s="202">
        <f>N17/M7</f>
        <v>0.03487646260609582</v>
      </c>
    </row>
    <row r="9" spans="2:13" ht="12.75">
      <c r="B9" t="s">
        <v>75</v>
      </c>
      <c r="C9" t="s">
        <v>136</v>
      </c>
      <c r="D9" s="145">
        <v>9.4</v>
      </c>
      <c r="F9" s="105"/>
      <c r="H9" s="178">
        <f>'2-Phase Lock'!H9</f>
        <v>6</v>
      </c>
      <c r="M9" s="178">
        <v>1.3</v>
      </c>
    </row>
    <row r="10" spans="2:13" ht="12.75">
      <c r="B10" t="s">
        <v>0</v>
      </c>
      <c r="C10" t="s">
        <v>9</v>
      </c>
      <c r="D10" s="104">
        <v>10</v>
      </c>
      <c r="H10" s="106">
        <f>'2-Phase Lock'!H10</f>
        <v>50</v>
      </c>
      <c r="M10" s="106">
        <v>27</v>
      </c>
    </row>
    <row r="11" spans="2:13" ht="12.75">
      <c r="B11" t="s">
        <v>39</v>
      </c>
      <c r="C11" t="s">
        <v>10</v>
      </c>
      <c r="D11" s="104">
        <v>1</v>
      </c>
      <c r="H11" s="106">
        <f>'2-Phase Lock'!H11</f>
        <v>1</v>
      </c>
      <c r="M11" s="106">
        <v>1</v>
      </c>
    </row>
    <row r="12" spans="2:14" ht="12.75">
      <c r="B12" t="s">
        <v>18</v>
      </c>
      <c r="C12" t="s">
        <v>10</v>
      </c>
      <c r="D12" s="105">
        <v>1.5E-06</v>
      </c>
      <c r="E12" t="s">
        <v>140</v>
      </c>
      <c r="H12" s="179">
        <f>'2-Phase Lock'!H12</f>
        <v>1.5E-06</v>
      </c>
      <c r="I12" t="s">
        <v>140</v>
      </c>
      <c r="M12" s="179">
        <v>1.5E-06</v>
      </c>
      <c r="N12" t="s">
        <v>140</v>
      </c>
    </row>
    <row r="14" ht="12.75">
      <c r="A14" s="1" t="s">
        <v>115</v>
      </c>
    </row>
    <row r="15" spans="1:14" ht="12.75">
      <c r="A15" s="1"/>
      <c r="B15" s="6" t="s">
        <v>29</v>
      </c>
      <c r="C15" s="6" t="s">
        <v>30</v>
      </c>
      <c r="D15" s="7" t="s">
        <v>84</v>
      </c>
      <c r="E15" s="7" t="s">
        <v>125</v>
      </c>
      <c r="H15" s="7" t="s">
        <v>84</v>
      </c>
      <c r="I15" s="7" t="s">
        <v>125</v>
      </c>
      <c r="M15" s="7" t="s">
        <v>84</v>
      </c>
      <c r="N15" s="7" t="s">
        <v>125</v>
      </c>
    </row>
    <row r="16" spans="2:13" ht="12.75">
      <c r="B16" t="s">
        <v>116</v>
      </c>
      <c r="C16" t="s">
        <v>101</v>
      </c>
      <c r="D16">
        <f>PI()*((D10/1000)/2)^2</f>
        <v>7.853981633974483E-05</v>
      </c>
      <c r="H16">
        <f>PI()*((H10/1000)/2)^2</f>
        <v>0.001963495408493621</v>
      </c>
      <c r="M16">
        <f>PI()*((M10/1000)/2)^2</f>
        <v>0.0005725552611167398</v>
      </c>
    </row>
    <row r="17" spans="2:14" ht="12.75">
      <c r="B17" t="s">
        <v>93</v>
      </c>
      <c r="C17" t="s">
        <v>13</v>
      </c>
      <c r="D17" s="106">
        <f>D7*3600*D16*(1-D8)</f>
        <v>14.137166941154069</v>
      </c>
      <c r="E17" s="8">
        <f>D7*3600*D16*D8</f>
        <v>14.137166941154069</v>
      </c>
      <c r="H17" s="106">
        <f>H7*3600*H16*(1-H8)</f>
        <v>1413.7166941154067</v>
      </c>
      <c r="I17" s="8">
        <f>H7*3600*H16*H8</f>
        <v>12723.450247038663</v>
      </c>
      <c r="M17" s="106">
        <f>581*M16*3600</f>
        <v>1197.5565841517728</v>
      </c>
      <c r="N17" s="8">
        <f>10*M16*3600</f>
        <v>20.61198940020263</v>
      </c>
    </row>
    <row r="18" spans="2:14" ht="12.75">
      <c r="B18" t="s">
        <v>75</v>
      </c>
      <c r="C18" t="s">
        <v>14</v>
      </c>
      <c r="D18" s="106">
        <f>D9*100</f>
        <v>940</v>
      </c>
      <c r="E18" s="44">
        <f>D18</f>
        <v>940</v>
      </c>
      <c r="H18" s="106">
        <f>H9*100</f>
        <v>600</v>
      </c>
      <c r="I18" s="44">
        <f>H18</f>
        <v>600</v>
      </c>
      <c r="M18" s="106">
        <f>M9*100</f>
        <v>130</v>
      </c>
      <c r="N18" s="44">
        <f>M18</f>
        <v>130</v>
      </c>
    </row>
    <row r="19" spans="2:14" ht="12.75">
      <c r="B19" t="s">
        <v>1</v>
      </c>
      <c r="C19" t="s">
        <v>26</v>
      </c>
      <c r="D19" s="107">
        <f>VLOOKUP($D$6,props,4)/(VLOOKUP($D$6,props,3)-LOG(D18*7.500617))-VLOOKUP($D$6,props,5)</f>
        <v>39.15968275679745</v>
      </c>
      <c r="E19" s="13">
        <f>D19</f>
        <v>39.15968275679745</v>
      </c>
      <c r="H19" s="107">
        <f>VLOOKUP($H$6,props,4)/(VLOOKUP($H$6,props,3)-LOG(H18*7.500617))-VLOOKUP($H$6,props,5)</f>
        <v>22.049011232325256</v>
      </c>
      <c r="I19" s="13">
        <f>H19</f>
        <v>22.049011232325256</v>
      </c>
      <c r="M19" s="107">
        <v>20</v>
      </c>
      <c r="N19" s="13">
        <f>M19</f>
        <v>20</v>
      </c>
    </row>
    <row r="20" spans="2:14" ht="12.75">
      <c r="B20" t="s">
        <v>16</v>
      </c>
      <c r="C20" t="s">
        <v>22</v>
      </c>
      <c r="D20" s="13">
        <f>EXP(VLOOKUP($D$6,props,6)+VLOOKUP($D$6,props,7)/(VLOOKUP($D$6,props,8)+$D$19))</f>
        <v>0.1731295447466742</v>
      </c>
      <c r="E20" s="154">
        <f>EXP(VLOOKUP($D$6,props,9)+VLOOKUP($D$6,props,10)/(VLOOKUP($D$6,props,11)+$D$19))</f>
        <v>0.014339652037776115</v>
      </c>
      <c r="H20" s="13">
        <f>EXP(VLOOKUP($H$6,props,6)+VLOOKUP($H$6,props,7)/(VLOOKUP($H$6,props,8)+$H$19))</f>
        <v>0.20475995814146222</v>
      </c>
      <c r="I20" s="154">
        <f>EXP(VLOOKUP($H$6,props,9)+VLOOKUP($H$6,props,10)/(VLOOKUP($H$6,props,11)+$H$19))</f>
        <v>0.013204586655628589</v>
      </c>
      <c r="M20" s="13">
        <f>EXP(VLOOKUP($M$4,props,6)+VLOOKUP($M$4,props,7)/(VLOOKUP($M$4,props,8)+$M$19))</f>
        <v>0.3930305946184303</v>
      </c>
      <c r="N20" s="154">
        <v>0.02</v>
      </c>
    </row>
    <row r="21" spans="2:14" ht="12.75">
      <c r="B21" t="s">
        <v>24</v>
      </c>
      <c r="C21" t="s">
        <v>27</v>
      </c>
      <c r="D21" s="8">
        <f>VLOOKUP($D$6,props,16)</f>
        <v>120.91</v>
      </c>
      <c r="E21" s="44">
        <f>D21</f>
        <v>120.91</v>
      </c>
      <c r="H21" s="8">
        <f>VLOOKUP($H$6,props,16)</f>
        <v>120.91</v>
      </c>
      <c r="I21" s="44">
        <f>H21</f>
        <v>120.91</v>
      </c>
      <c r="M21" s="8">
        <f>VLOOKUP($M$4,props,16)</f>
        <v>18</v>
      </c>
      <c r="N21" s="44">
        <v>29</v>
      </c>
    </row>
    <row r="22" spans="2:14" ht="12.75">
      <c r="B22" t="s">
        <v>5</v>
      </c>
      <c r="C22" t="s">
        <v>11</v>
      </c>
      <c r="D22" s="44">
        <f>(VLOOKUP($D$6,props,12)*$D$19+VLOOKUP($D$6,props,13))</f>
        <v>1272.4522123007914</v>
      </c>
      <c r="E22" s="140">
        <f>($D$18*1000)*$D$21/(8314.47*($D$19+273.15))</f>
        <v>43.76934574797258</v>
      </c>
      <c r="H22" s="44">
        <f>(VLOOKUP($H$6,props,12)*$H$19+VLOOKUP($H$6,props,13))</f>
        <v>1325.3004955908962</v>
      </c>
      <c r="I22" s="140">
        <f>($H$18*1000)*$H$21/(8314.47*($H$19+273.15))</f>
        <v>29.55724846750082</v>
      </c>
      <c r="M22" s="44">
        <f>(VLOOKUP($M$4,props,12)*$M$19+VLOOKUP($M$4,props,13))</f>
        <v>1119.2587964041468</v>
      </c>
      <c r="N22" s="201">
        <f>(N18*1000*N21)/((N19+273.15)*8314)</f>
        <v>1.546825886611262</v>
      </c>
    </row>
    <row r="23" spans="2:14" ht="12.75">
      <c r="B23" t="s">
        <v>4</v>
      </c>
      <c r="D23" s="13"/>
      <c r="E23" s="155">
        <v>1.17</v>
      </c>
      <c r="H23" s="13"/>
      <c r="I23" s="155">
        <v>1.31</v>
      </c>
      <c r="M23" s="13"/>
      <c r="N23" s="155">
        <v>1.4</v>
      </c>
    </row>
    <row r="26" ht="12.75">
      <c r="A26" s="1" t="s">
        <v>15</v>
      </c>
    </row>
    <row r="27" spans="2:14" ht="12.75">
      <c r="B27" t="s">
        <v>33</v>
      </c>
      <c r="C27" t="s">
        <v>34</v>
      </c>
      <c r="D27" s="99">
        <f>NReSI(D17,D20,D10,D22)</f>
        <v>2888.0108283442964</v>
      </c>
      <c r="E27" s="99">
        <f>NReSI(E17,E20,D10,E22)</f>
        <v>34868.34956786418</v>
      </c>
      <c r="H27" s="99">
        <f>NReSI(H17,H20,H10,H22)</f>
        <v>48837.673583550844</v>
      </c>
      <c r="I27" s="99">
        <f>NReSI(I17,I20,H10,I22)</f>
        <v>6815813.499916336</v>
      </c>
      <c r="M27" s="99">
        <f>NReSI(M17,M20,M10,M22)</f>
        <v>39912.9233518863</v>
      </c>
      <c r="N27" s="99">
        <f>NReSI(N17,N20,M10,N22)</f>
        <v>13499.999998237266</v>
      </c>
    </row>
    <row r="28" spans="4:13" ht="12.75">
      <c r="D28" s="100"/>
      <c r="H28" s="100"/>
      <c r="M28" s="100"/>
    </row>
    <row r="29" spans="2:14" ht="12.75">
      <c r="B29" t="s">
        <v>19</v>
      </c>
      <c r="C29" t="s">
        <v>34</v>
      </c>
      <c r="D29" s="101">
        <f>FrictionSI(D12,D27,D10)</f>
        <v>0.04237499246312723</v>
      </c>
      <c r="E29" s="101">
        <f>FrictionSI(D12,E27,D10)</f>
        <v>0.023067520624449844</v>
      </c>
      <c r="H29" s="101">
        <f>FrictionSI(H12,H27,H10)</f>
        <v>0.021008339500724445</v>
      </c>
      <c r="I29" s="101">
        <f>FrictionSI(H12,I27,H10)</f>
        <v>0.010349075858144298</v>
      </c>
      <c r="M29" s="101">
        <f>FrictionSI(M12,M27,M10)</f>
        <v>0.022073235138232783</v>
      </c>
      <c r="N29" s="101">
        <f>FrictionSI(M12,N27,M10)</f>
        <v>0.02870466189129804</v>
      </c>
    </row>
    <row r="30" spans="4:13" ht="12.75">
      <c r="D30" s="100"/>
      <c r="F30" s="142"/>
      <c r="H30" s="100"/>
      <c r="M30" s="100"/>
    </row>
    <row r="31" spans="2:14" ht="12.75">
      <c r="B31" t="s">
        <v>95</v>
      </c>
      <c r="D31" s="173">
        <f>D18-PDsi(D17,D18,,D10,D11,D29,D22)</f>
        <v>0.004162729403446974</v>
      </c>
      <c r="E31" s="101">
        <f>E18-PDsi(E17,E18,,D10,D11,E29,,E19,E21,E23)</f>
        <v>0.07104018653467392</v>
      </c>
      <c r="F31" s="141"/>
      <c r="H31" s="151">
        <f>H18-PDsi(H17,H18,,H10,H11,H29,H22)</f>
        <v>0.006340702440638779</v>
      </c>
      <c r="I31" s="150">
        <f>I18-PDsi(I17,I18,,H10,H11,I29,,I19,I21,I23)</f>
        <v>15.493621463027921</v>
      </c>
      <c r="M31" s="151">
        <f>M18-PDsi(M17,M18,,M10,M11,M29,M22)</f>
        <v>0.12328038818648679</v>
      </c>
      <c r="N31" s="150">
        <f>N18-PDsi(N17,N18,,M10,M11,N29,,N19,N21,N23)</f>
        <v>0.040116724707900175</v>
      </c>
    </row>
    <row r="32" spans="4:13" ht="12.75">
      <c r="D32" s="155"/>
      <c r="H32" s="155"/>
      <c r="M32" s="155"/>
    </row>
    <row r="34" spans="2:14" ht="12.75">
      <c r="B34" t="s">
        <v>214</v>
      </c>
      <c r="C34" t="s">
        <v>230</v>
      </c>
      <c r="D34" s="172">
        <f>D29/2*Flux2^2*(1-D8)^2/((D10/1000)*D22)</f>
        <v>4.162729261410401</v>
      </c>
      <c r="E34" s="171">
        <f>E29/2*Flux2^2*D8^2/((D10/1000)*E22)</f>
        <v>65.87807125697768</v>
      </c>
      <c r="G34" t="s">
        <v>215</v>
      </c>
      <c r="H34" s="172">
        <f>H29/2*H7^2*(1-H8)^2/((H10/1000)*H22)/1000</f>
        <v>0.006340702224323154</v>
      </c>
      <c r="I34" s="171">
        <f>I29/2*H7^2*H8^2/((H10/1000)*I22)/1000</f>
        <v>11.344427346563057</v>
      </c>
      <c r="M34" s="172">
        <f>M29/2*M7^2*(1-M8)^2/((M10/1000)*M22)/1000</f>
        <v>0.11881806898478593</v>
      </c>
      <c r="N34" s="171">
        <f>N29/2*M7^2*M8^2/((M10/1000)*N22)/1000</f>
        <v>0.1460014151500446</v>
      </c>
    </row>
    <row r="36" spans="2:14" ht="12.75">
      <c r="B36" t="s">
        <v>220</v>
      </c>
      <c r="C36" t="s">
        <v>216</v>
      </c>
      <c r="D36">
        <v>0.8</v>
      </c>
      <c r="H36" s="176">
        <v>0.3</v>
      </c>
      <c r="I36" t="s">
        <v>219</v>
      </c>
      <c r="M36" s="176">
        <v>0.25</v>
      </c>
      <c r="N36" t="s">
        <v>219</v>
      </c>
    </row>
    <row r="38" spans="2:13" ht="12.75">
      <c r="B38" t="s">
        <v>217</v>
      </c>
      <c r="C38" t="s">
        <v>215</v>
      </c>
      <c r="D38" s="174">
        <f>(D34^D36+E34^D36)^(1/D36)</f>
        <v>75.038706089814</v>
      </c>
      <c r="H38" s="169">
        <f>(H34^H36+I34^H36)^(1/H36)</f>
        <v>15.859232579753229</v>
      </c>
      <c r="M38" s="169">
        <f>(M34^M36+N34^M36)^(1/M36)</f>
        <v>2.1101617817549787</v>
      </c>
    </row>
    <row r="39" ht="12.75">
      <c r="M39" s="13">
        <f>M38*1000</f>
        <v>2110.1617817549786</v>
      </c>
    </row>
    <row r="42" spans="14:16" ht="12.75">
      <c r="N42" s="9"/>
      <c r="O42" s="9"/>
      <c r="P42" s="9"/>
    </row>
    <row r="43" spans="14:16" ht="12.75">
      <c r="N43" s="9"/>
      <c r="O43" s="9"/>
      <c r="P43" s="9"/>
    </row>
    <row r="44" spans="14:16" ht="12.75">
      <c r="N44" s="9"/>
      <c r="O44" s="9"/>
      <c r="P44" s="9"/>
    </row>
    <row r="45" spans="14:16" ht="12.75">
      <c r="N45" s="9"/>
      <c r="O45" s="9"/>
      <c r="P45" s="9"/>
    </row>
    <row r="46" spans="14:16" ht="12.75">
      <c r="N46" s="9"/>
      <c r="O46" s="9"/>
      <c r="P46" s="9"/>
    </row>
    <row r="47" spans="14:16" ht="12.75">
      <c r="N47" s="9"/>
      <c r="O47" s="9"/>
      <c r="P47" s="9"/>
    </row>
  </sheetData>
  <sheetProtection/>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1"/>
  <dimension ref="A1:Z98"/>
  <sheetViews>
    <sheetView zoomScalePageLayoutView="0" workbookViewId="0" topLeftCell="A1">
      <selection activeCell="A1" sqref="A1"/>
    </sheetView>
  </sheetViews>
  <sheetFormatPr defaultColWidth="9.140625" defaultRowHeight="12.75"/>
  <cols>
    <col min="2" max="2" width="25.8515625" style="0" customWidth="1"/>
    <col min="3" max="3" width="18.28125" style="0" customWidth="1"/>
    <col min="4" max="5" width="12.421875" style="0" customWidth="1"/>
    <col min="6" max="6" width="12.00390625" style="0" customWidth="1"/>
    <col min="7" max="7" width="10.57421875" style="0" customWidth="1"/>
    <col min="8" max="8" width="13.28125" style="0" customWidth="1"/>
    <col min="9" max="9" width="10.7109375" style="0" customWidth="1"/>
    <col min="12" max="12" width="10.28125" style="0" bestFit="1" customWidth="1"/>
    <col min="13" max="13" width="9.421875" style="0" bestFit="1" customWidth="1"/>
    <col min="14" max="14" width="9.57421875" style="0" bestFit="1" customWidth="1"/>
    <col min="15" max="16" width="10.57421875" style="0" bestFit="1" customWidth="1"/>
    <col min="17" max="17" width="9.421875" style="0" bestFit="1" customWidth="1"/>
    <col min="18" max="18" width="9.421875" style="0" customWidth="1"/>
    <col min="19" max="19" width="10.7109375" style="0" bestFit="1" customWidth="1"/>
    <col min="23" max="23" width="12.421875" style="0" customWidth="1"/>
  </cols>
  <sheetData>
    <row r="1" spans="7:8" ht="12.75">
      <c r="G1" t="s">
        <v>138</v>
      </c>
      <c r="H1" t="s">
        <v>159</v>
      </c>
    </row>
    <row r="5" spans="8:11" ht="12.75">
      <c r="H5" t="s">
        <v>209</v>
      </c>
      <c r="K5" t="s">
        <v>210</v>
      </c>
    </row>
    <row r="6" spans="1:8" ht="12.75">
      <c r="A6" s="1" t="s">
        <v>7</v>
      </c>
      <c r="B6" t="s">
        <v>96</v>
      </c>
      <c r="D6" s="102" t="s">
        <v>156</v>
      </c>
      <c r="H6" s="102" t="s">
        <v>98</v>
      </c>
    </row>
    <row r="7" spans="2:8" ht="12.75">
      <c r="B7" t="s">
        <v>110</v>
      </c>
      <c r="C7" t="s">
        <v>111</v>
      </c>
      <c r="D7" s="103">
        <v>110.6</v>
      </c>
      <c r="H7" s="103">
        <v>2000</v>
      </c>
    </row>
    <row r="8" spans="2:8" ht="12.75">
      <c r="B8" t="s">
        <v>94</v>
      </c>
      <c r="C8" t="s">
        <v>109</v>
      </c>
      <c r="D8" s="103">
        <f>1-0.865</f>
        <v>0.135</v>
      </c>
      <c r="H8" s="103">
        <v>0.9</v>
      </c>
    </row>
    <row r="9" spans="2:9" ht="12.75">
      <c r="B9" t="s">
        <v>75</v>
      </c>
      <c r="C9" t="s">
        <v>136</v>
      </c>
      <c r="D9" s="145">
        <f>215/14.5</f>
        <v>14.827586206896552</v>
      </c>
      <c r="E9" s="13"/>
      <c r="H9" s="145">
        <v>6</v>
      </c>
      <c r="I9" s="13"/>
    </row>
    <row r="10" spans="2:8" ht="12.75">
      <c r="B10" t="s">
        <v>0</v>
      </c>
      <c r="C10" t="s">
        <v>9</v>
      </c>
      <c r="D10" s="104">
        <f>1.5*25.4</f>
        <v>38.099999999999994</v>
      </c>
      <c r="H10" s="104">
        <v>50</v>
      </c>
    </row>
    <row r="11" spans="2:8" ht="12.75">
      <c r="B11" t="s">
        <v>39</v>
      </c>
      <c r="C11" t="s">
        <v>10</v>
      </c>
      <c r="D11" s="104">
        <v>30.48</v>
      </c>
      <c r="H11" s="104">
        <v>1</v>
      </c>
    </row>
    <row r="12" spans="2:8" ht="12.75">
      <c r="B12" t="s">
        <v>18</v>
      </c>
      <c r="C12" t="s">
        <v>10</v>
      </c>
      <c r="D12" s="105">
        <v>4.57E-05</v>
      </c>
      <c r="H12" s="105">
        <v>1.5E-06</v>
      </c>
    </row>
    <row r="14" ht="12.75">
      <c r="A14" s="1" t="s">
        <v>115</v>
      </c>
    </row>
    <row r="15" spans="1:9" ht="12.75">
      <c r="A15" s="1"/>
      <c r="B15" s="6" t="s">
        <v>29</v>
      </c>
      <c r="C15" s="6" t="s">
        <v>30</v>
      </c>
      <c r="D15" s="7" t="s">
        <v>84</v>
      </c>
      <c r="E15" s="7" t="s">
        <v>125</v>
      </c>
      <c r="H15" s="7" t="s">
        <v>84</v>
      </c>
      <c r="I15" s="7" t="s">
        <v>125</v>
      </c>
    </row>
    <row r="16" spans="2:8" ht="12.75">
      <c r="B16" t="s">
        <v>116</v>
      </c>
      <c r="C16" t="s">
        <v>101</v>
      </c>
      <c r="D16">
        <f>PI()*((D10/1000)/2)^2</f>
        <v>0.0011400918279693697</v>
      </c>
      <c r="H16">
        <f>PI()*((H10/1000)/2)^2</f>
        <v>0.001963495408493621</v>
      </c>
    </row>
    <row r="17" spans="2:9" ht="12.75">
      <c r="B17" t="s">
        <v>93</v>
      </c>
      <c r="C17" t="s">
        <v>13</v>
      </c>
      <c r="D17" s="106">
        <f>D7*3600*D16*(1-D8)</f>
        <v>392.6572023240059</v>
      </c>
      <c r="E17" s="8">
        <f>D7*3600*D16*D8</f>
        <v>61.281759900278374</v>
      </c>
      <c r="F17" s="13"/>
      <c r="G17" s="13"/>
      <c r="H17" s="106">
        <f>H7*3600*H16*(1-H8)</f>
        <v>1413.7166941154067</v>
      </c>
      <c r="I17" s="8">
        <f>H7*3600*H16*H8</f>
        <v>12723.450247038663</v>
      </c>
    </row>
    <row r="18" spans="2:9" ht="12.75">
      <c r="B18" t="s">
        <v>75</v>
      </c>
      <c r="C18" t="s">
        <v>14</v>
      </c>
      <c r="D18" s="106">
        <f>D9*100</f>
        <v>1482.7586206896551</v>
      </c>
      <c r="E18" s="44">
        <f>D18</f>
        <v>1482.7586206896551</v>
      </c>
      <c r="F18" s="13"/>
      <c r="H18" s="106">
        <f>H9*100</f>
        <v>600</v>
      </c>
      <c r="I18" s="44">
        <f>H18</f>
        <v>600</v>
      </c>
    </row>
    <row r="19" spans="2:9" ht="12.75">
      <c r="B19" t="s">
        <v>1</v>
      </c>
      <c r="C19" t="s">
        <v>26</v>
      </c>
      <c r="D19" s="107">
        <f>VLOOKUP($D$6,props,4)/(VLOOKUP($D$6,props,3)-LOG(D18*7.500617))-VLOOKUP($D$6,props,5)</f>
        <v>197.69678252876696</v>
      </c>
      <c r="E19" s="13">
        <f>D19</f>
        <v>197.69678252876696</v>
      </c>
      <c r="F19" s="13"/>
      <c r="H19" s="107">
        <f>VLOOKUP($H$6,props,4)/(VLOOKUP($H$6,props,3)-LOG(H18*7.500617))-VLOOKUP($H$6,props,5)</f>
        <v>22.049011232325256</v>
      </c>
      <c r="I19" s="13">
        <f>H19</f>
        <v>22.049011232325256</v>
      </c>
    </row>
    <row r="20" spans="2:9" ht="12.75">
      <c r="B20" t="s">
        <v>16</v>
      </c>
      <c r="C20" t="s">
        <v>22</v>
      </c>
      <c r="D20" s="13">
        <f>EXP(VLOOKUP($D$6,props,6)+VLOOKUP($D$6,props,7)/(VLOOKUP($D$6,props,8)+$D$19))</f>
        <v>0.17194838784061356</v>
      </c>
      <c r="E20" s="154">
        <f>EXP(VLOOKUP($D$6,props,9)+VLOOKUP($D$6,props,10)/(VLOOKUP($D$6,props,11)+$D$19))</f>
        <v>0.014099782138788979</v>
      </c>
      <c r="F20" s="13"/>
      <c r="H20" s="13">
        <f>EXP(VLOOKUP($H$6,props,6)+VLOOKUP($H$6,props,7)/(VLOOKUP($H$6,props,8)+$H$19))</f>
        <v>0.20475995814146222</v>
      </c>
      <c r="I20" s="154">
        <f>EXP(VLOOKUP($H$6,props,9)+VLOOKUP($H$6,props,10)/(VLOOKUP($H$6,props,11)+$H$19))</f>
        <v>0.013204586655628589</v>
      </c>
    </row>
    <row r="21" spans="2:9" ht="12.75">
      <c r="B21" t="s">
        <v>24</v>
      </c>
      <c r="C21" t="s">
        <v>27</v>
      </c>
      <c r="D21" s="8">
        <f>VLOOKUP($D$6,props,16)</f>
        <v>18</v>
      </c>
      <c r="E21" s="44">
        <f>D21</f>
        <v>18</v>
      </c>
      <c r="H21" s="8">
        <f>VLOOKUP($H$6,props,16)</f>
        <v>120.91</v>
      </c>
      <c r="I21" s="44">
        <f>H21</f>
        <v>120.91</v>
      </c>
    </row>
    <row r="22" spans="2:9" ht="12.75">
      <c r="B22" t="s">
        <v>5</v>
      </c>
      <c r="C22" t="s">
        <v>11</v>
      </c>
      <c r="D22" s="44">
        <f>(VLOOKUP($D$6,props,12)*$D$19+VLOOKUP($D$6,props,13))</f>
        <v>842.3537035560937</v>
      </c>
      <c r="E22" s="140">
        <f>($D$18*1000)*$D$21/(8314.47*($D$19+273.15))</f>
        <v>6.817557116269114</v>
      </c>
      <c r="F22" s="13"/>
      <c r="H22" s="44">
        <f>(VLOOKUP($H$6,props,12)*$H$19+VLOOKUP($H$6,props,13))</f>
        <v>1325.3004955908962</v>
      </c>
      <c r="I22" s="140">
        <f>($H$18*1000)*$H$21/(8314.47*($H$19+273.15))</f>
        <v>29.55724846750082</v>
      </c>
    </row>
    <row r="23" spans="2:9" ht="12.75">
      <c r="B23" t="s">
        <v>4</v>
      </c>
      <c r="D23" s="13"/>
      <c r="E23" s="155">
        <v>1.4</v>
      </c>
      <c r="H23" s="13"/>
      <c r="I23" s="155">
        <v>1.31</v>
      </c>
    </row>
    <row r="26" ht="12.75">
      <c r="A26" s="1" t="s">
        <v>15</v>
      </c>
    </row>
    <row r="27" spans="2:9" ht="12.75">
      <c r="B27" t="s">
        <v>33</v>
      </c>
      <c r="C27" t="s">
        <v>34</v>
      </c>
      <c r="D27" s="99">
        <f>NReSI(D17,D20,D10,D22)</f>
        <v>21198.156873112188</v>
      </c>
      <c r="E27" s="99">
        <f>NReSI(E17,E20,D10,E22)</f>
        <v>40346.09147333824</v>
      </c>
      <c r="H27" s="99">
        <f>NReSI(H17,H20,H10,H22)</f>
        <v>48837.673583550844</v>
      </c>
      <c r="I27" s="99">
        <f>NReSI(I17,I20,H10,I22)</f>
        <v>6815813.499916336</v>
      </c>
    </row>
    <row r="28" spans="4:8" ht="12.75">
      <c r="D28" s="100"/>
      <c r="H28" s="100"/>
    </row>
    <row r="29" spans="2:9" ht="12.75">
      <c r="B29" t="s">
        <v>19</v>
      </c>
      <c r="C29" t="s">
        <v>34</v>
      </c>
      <c r="D29" s="101">
        <f>FrictionSI(D12,D27,D10)</f>
        <v>0.02824588900779521</v>
      </c>
      <c r="E29" s="101">
        <f>FrictionSI(D12,E27,D10)</f>
        <v>0.025464981760194474</v>
      </c>
      <c r="H29" s="101">
        <f>FrictionSI(H12,H27,H10)</f>
        <v>0.021008339500724445</v>
      </c>
      <c r="I29" s="101">
        <f>FrictionSI(H12,I27,H10)</f>
        <v>0.010349075858144298</v>
      </c>
    </row>
    <row r="30" spans="4:8" ht="12.75">
      <c r="D30" s="100"/>
      <c r="F30" s="142"/>
      <c r="H30" s="100"/>
    </row>
    <row r="31" spans="2:9" ht="12.75">
      <c r="B31" t="s">
        <v>95</v>
      </c>
      <c r="D31" s="151">
        <f>D18-PDsi(D17,D18,,D10,D11,D29,D22)</f>
        <v>0.12276179601690274</v>
      </c>
      <c r="E31" s="150">
        <f>E18-PD2Phase(E17,E18,,D10,D11,E29,E22)</f>
        <v>0.3330829339272441</v>
      </c>
      <c r="H31" s="151">
        <f>H18-PDsi(H17,H18,,H10,H11,H29,H22)</f>
        <v>0.006340702440638779</v>
      </c>
      <c r="I31" s="150">
        <f>I18-PD2Phase(I17,I18,,H10,H11,I29,I22)</f>
        <v>11.344427733593193</v>
      </c>
    </row>
    <row r="32" spans="4:9" ht="12.75">
      <c r="D32" s="156"/>
      <c r="E32" s="156"/>
      <c r="H32" s="156"/>
      <c r="I32" s="156"/>
    </row>
    <row r="33" spans="2:8" ht="12.75">
      <c r="B33" t="s">
        <v>154</v>
      </c>
      <c r="D33" s="13"/>
      <c r="H33" s="13"/>
    </row>
    <row r="34" spans="2:12" ht="12.75">
      <c r="B34" t="s">
        <v>155</v>
      </c>
      <c r="C34" t="s">
        <v>34</v>
      </c>
      <c r="D34" s="13">
        <f>(D31/E31)^0.5</f>
        <v>0.6070932806062413</v>
      </c>
      <c r="H34" s="13">
        <f>(H31/I31)^0.5</f>
        <v>0.023641628574099502</v>
      </c>
      <c r="K34" t="s">
        <v>211</v>
      </c>
      <c r="L34">
        <f>(1+H8*(H22-I22)/I22)*(1+H8*(H20-I20)/I20)^(-1/4)</f>
        <v>20.893050593081192</v>
      </c>
    </row>
    <row r="35" spans="2:12" ht="12.75">
      <c r="B35" t="s">
        <v>157</v>
      </c>
      <c r="C35" t="s">
        <v>34</v>
      </c>
      <c r="D35" s="50">
        <f>4.6*UB^(-1.78)+12.5*UB^(-0.68)+0.65</f>
        <v>29.383900842113974</v>
      </c>
      <c r="H35" s="50">
        <f>4.6*H34^(-1.78)+12.5*H34^(-0.68)+0.65</f>
        <v>3771.0397528439075</v>
      </c>
      <c r="K35" t="s">
        <v>212</v>
      </c>
      <c r="L35">
        <f>L34^0.5</f>
        <v>4.570891662802914</v>
      </c>
    </row>
    <row r="36" spans="4:8" ht="12.75">
      <c r="D36" s="155"/>
      <c r="H36" s="155"/>
    </row>
    <row r="37" spans="2:12" ht="12.75">
      <c r="B37" t="s">
        <v>158</v>
      </c>
      <c r="C37" t="s">
        <v>14</v>
      </c>
      <c r="D37" s="13">
        <f>D31*D35</f>
        <v>3.607220441360492</v>
      </c>
      <c r="H37" s="170">
        <f>H31*H35</f>
        <v>23.911040964603224</v>
      </c>
      <c r="L37" s="170">
        <f>L34*H31</f>
        <v>0.1324766168879394</v>
      </c>
    </row>
    <row r="38" spans="3:8" ht="12.75">
      <c r="C38" t="s">
        <v>68</v>
      </c>
      <c r="D38" s="50">
        <f>Avg/101.5*14.7</f>
        <v>0.5224250294384161</v>
      </c>
      <c r="E38" t="s">
        <v>160</v>
      </c>
      <c r="H38" s="50"/>
    </row>
    <row r="39" ht="12.75">
      <c r="E39" t="s">
        <v>161</v>
      </c>
    </row>
    <row r="42" ht="12.75">
      <c r="N42" s="9"/>
    </row>
    <row r="43" spans="8:23" ht="12.75">
      <c r="H43" s="171"/>
      <c r="J43" s="199" t="s">
        <v>139</v>
      </c>
      <c r="K43" s="199" t="s">
        <v>94</v>
      </c>
      <c r="L43" s="199" t="s">
        <v>175</v>
      </c>
      <c r="M43" s="199" t="s">
        <v>222</v>
      </c>
      <c r="N43" s="199" t="s">
        <v>223</v>
      </c>
      <c r="O43" s="200" t="s">
        <v>224</v>
      </c>
      <c r="P43" s="199" t="s">
        <v>225</v>
      </c>
      <c r="Q43" s="199"/>
      <c r="R43" s="199"/>
      <c r="S43" s="199" t="s">
        <v>226</v>
      </c>
      <c r="T43" s="199" t="s">
        <v>75</v>
      </c>
      <c r="U43" s="199" t="s">
        <v>0</v>
      </c>
      <c r="V43" s="199" t="s">
        <v>39</v>
      </c>
      <c r="W43" s="199" t="s">
        <v>18</v>
      </c>
    </row>
    <row r="44" spans="10:23" ht="12.75">
      <c r="J44" s="27">
        <v>100</v>
      </c>
      <c r="K44" s="27">
        <v>0</v>
      </c>
      <c r="L44" s="35">
        <v>0.07545458583369365</v>
      </c>
      <c r="M44" s="34">
        <v>0.0018615249956610569</v>
      </c>
      <c r="N44" s="180">
        <v>0.0019073986863177746</v>
      </c>
      <c r="O44" s="34"/>
      <c r="P44" s="34"/>
      <c r="Q44" s="35"/>
      <c r="R44" s="35"/>
      <c r="S44" s="27" t="s">
        <v>98</v>
      </c>
      <c r="T44" s="181">
        <v>6</v>
      </c>
      <c r="U44" s="182">
        <v>50</v>
      </c>
      <c r="V44" s="182">
        <v>1</v>
      </c>
      <c r="W44" s="183">
        <v>1.5E-06</v>
      </c>
    </row>
    <row r="45" spans="10:23" ht="12.75">
      <c r="J45" s="27">
        <f>J44</f>
        <v>100</v>
      </c>
      <c r="K45" s="27">
        <v>0.1</v>
      </c>
      <c r="L45" s="35">
        <v>0.40623561291746396</v>
      </c>
      <c r="M45" s="34">
        <v>0.008163618618805083</v>
      </c>
      <c r="N45" s="180">
        <v>0.011908280792395785</v>
      </c>
      <c r="O45" s="34">
        <v>0.011090335657330669</v>
      </c>
      <c r="P45" s="34">
        <v>0.01989093328859268</v>
      </c>
      <c r="Q45" s="35"/>
      <c r="R45" s="35"/>
      <c r="S45" s="27" t="s">
        <v>98</v>
      </c>
      <c r="T45" s="181">
        <v>6</v>
      </c>
      <c r="U45" s="182">
        <v>50</v>
      </c>
      <c r="V45" s="182">
        <v>1</v>
      </c>
      <c r="W45" s="183">
        <v>1.5E-06</v>
      </c>
    </row>
    <row r="46" spans="10:23" ht="12.75">
      <c r="J46" s="27">
        <f aca="true" t="shared" si="0" ref="J46:J54">J45</f>
        <v>100</v>
      </c>
      <c r="K46" s="27">
        <v>0.2</v>
      </c>
      <c r="L46" s="35">
        <v>0.7370166400012342</v>
      </c>
      <c r="M46" s="34">
        <v>0.01343905210043295</v>
      </c>
      <c r="N46" s="180">
        <v>0.019664998382144607</v>
      </c>
      <c r="O46" s="34">
        <v>0.018544703984353265</v>
      </c>
      <c r="P46" s="34">
        <v>0.03191165509739319</v>
      </c>
      <c r="Q46" s="35"/>
      <c r="R46" s="35"/>
      <c r="S46" s="27" t="s">
        <v>98</v>
      </c>
      <c r="T46" s="181">
        <v>6</v>
      </c>
      <c r="U46" s="182">
        <v>50</v>
      </c>
      <c r="V46" s="182">
        <v>1</v>
      </c>
      <c r="W46" s="183">
        <v>1.5E-06</v>
      </c>
    </row>
    <row r="47" spans="10:23" ht="12.75">
      <c r="J47" s="27">
        <f t="shared" si="0"/>
        <v>100</v>
      </c>
      <c r="K47" s="27">
        <v>0.3</v>
      </c>
      <c r="L47" s="35">
        <v>1.0677976670850042</v>
      </c>
      <c r="M47" s="34">
        <v>0.01828856839435674</v>
      </c>
      <c r="N47" s="180">
        <v>0.02700627579300444</v>
      </c>
      <c r="O47" s="34">
        <v>0.02587671311399236</v>
      </c>
      <c r="P47" s="34">
        <v>0.043212545279534186</v>
      </c>
      <c r="Q47" s="35"/>
      <c r="R47" s="35"/>
      <c r="S47" s="27" t="s">
        <v>98</v>
      </c>
      <c r="T47" s="181">
        <v>6</v>
      </c>
      <c r="U47" s="182">
        <v>50</v>
      </c>
      <c r="V47" s="182">
        <v>1</v>
      </c>
      <c r="W47" s="183">
        <v>1.5E-06</v>
      </c>
    </row>
    <row r="48" spans="10:23" ht="12.75">
      <c r="J48" s="27">
        <f t="shared" si="0"/>
        <v>100</v>
      </c>
      <c r="K48" s="27">
        <v>0.4</v>
      </c>
      <c r="L48" s="35">
        <v>1.3985786941687748</v>
      </c>
      <c r="M48" s="34">
        <v>0.022885250386617706</v>
      </c>
      <c r="N48" s="34">
        <v>0.033919689874555785</v>
      </c>
      <c r="O48" s="34">
        <v>0.0330385556392919</v>
      </c>
      <c r="P48" s="34">
        <v>0.054148369241880934</v>
      </c>
      <c r="Q48" s="35"/>
      <c r="R48" s="35"/>
      <c r="S48" s="27" t="s">
        <v>98</v>
      </c>
      <c r="T48" s="181">
        <v>6</v>
      </c>
      <c r="U48" s="182">
        <v>50</v>
      </c>
      <c r="V48" s="182">
        <v>1</v>
      </c>
      <c r="W48" s="183">
        <v>1.5E-06</v>
      </c>
    </row>
    <row r="49" spans="10:23" ht="12.75">
      <c r="J49" s="27">
        <f t="shared" si="0"/>
        <v>100</v>
      </c>
      <c r="K49" s="27">
        <v>0.5</v>
      </c>
      <c r="L49" s="35">
        <v>1.7293597212525451</v>
      </c>
      <c r="M49" s="34">
        <v>0.027308409885355833</v>
      </c>
      <c r="N49" s="34">
        <v>0.04028802094746031</v>
      </c>
      <c r="O49" s="34">
        <v>0.03989172013299384</v>
      </c>
      <c r="P49" s="34">
        <v>0.06464207985818568</v>
      </c>
      <c r="Q49" s="35"/>
      <c r="R49" s="35"/>
      <c r="S49" s="27" t="s">
        <v>98</v>
      </c>
      <c r="T49" s="181">
        <v>6</v>
      </c>
      <c r="U49" s="182">
        <v>50</v>
      </c>
      <c r="V49" s="182">
        <v>1</v>
      </c>
      <c r="W49" s="183">
        <v>1.5E-06</v>
      </c>
    </row>
    <row r="50" spans="10:23" ht="12.75">
      <c r="J50" s="27">
        <f t="shared" si="0"/>
        <v>100</v>
      </c>
      <c r="K50" s="27">
        <v>0.6</v>
      </c>
      <c r="L50" s="35">
        <v>2.0601407483363148</v>
      </c>
      <c r="M50" s="34">
        <v>0.03160253959158717</v>
      </c>
      <c r="N50" s="34">
        <v>0.04593190244010066</v>
      </c>
      <c r="O50" s="34">
        <v>0.046239860713758414</v>
      </c>
      <c r="P50" s="34">
        <v>0.07439035852124462</v>
      </c>
      <c r="Q50" s="35"/>
      <c r="R50" s="35"/>
      <c r="S50" s="27" t="s">
        <v>98</v>
      </c>
      <c r="T50" s="181">
        <v>6</v>
      </c>
      <c r="U50" s="182">
        <v>50</v>
      </c>
      <c r="V50" s="182">
        <v>1</v>
      </c>
      <c r="W50" s="183">
        <v>1.5E-06</v>
      </c>
    </row>
    <row r="51" spans="10:23" ht="12.75">
      <c r="J51" s="27">
        <f t="shared" si="0"/>
        <v>100</v>
      </c>
      <c r="K51" s="27">
        <v>0.7</v>
      </c>
      <c r="L51" s="35">
        <v>2.390921775420085</v>
      </c>
      <c r="M51" s="34">
        <v>0.03579569543272994</v>
      </c>
      <c r="N51" s="34">
        <v>0.050582018643384234</v>
      </c>
      <c r="O51" s="34">
        <v>0.05179792643460065</v>
      </c>
      <c r="P51" s="34">
        <v>0.08280947224529916</v>
      </c>
      <c r="Q51" s="35"/>
      <c r="R51" s="35"/>
      <c r="S51" s="27" t="s">
        <v>98</v>
      </c>
      <c r="T51" s="181">
        <v>6</v>
      </c>
      <c r="U51" s="182">
        <v>50</v>
      </c>
      <c r="V51" s="182">
        <v>1</v>
      </c>
      <c r="W51" s="183">
        <v>1.5E-06</v>
      </c>
    </row>
    <row r="52" spans="10:23" ht="12.75">
      <c r="J52" s="27">
        <f t="shared" si="0"/>
        <v>100</v>
      </c>
      <c r="K52" s="27">
        <v>0.8</v>
      </c>
      <c r="L52" s="35">
        <v>2.7217028025038554</v>
      </c>
      <c r="M52" s="34">
        <v>0.039906980707760324</v>
      </c>
      <c r="N52" s="34">
        <v>0.05377779240705308</v>
      </c>
      <c r="O52" s="34">
        <v>0.05608967049943152</v>
      </c>
      <c r="P52" s="34">
        <v>0.08872768603760459</v>
      </c>
      <c r="Q52" s="35"/>
      <c r="R52" s="35"/>
      <c r="S52" s="27" t="s">
        <v>98</v>
      </c>
      <c r="T52" s="181">
        <v>6</v>
      </c>
      <c r="U52" s="182">
        <v>50</v>
      </c>
      <c r="V52" s="182">
        <v>1</v>
      </c>
      <c r="W52" s="183">
        <v>1.5E-06</v>
      </c>
    </row>
    <row r="53" spans="10:23" ht="12.75">
      <c r="J53" s="27">
        <f t="shared" si="0"/>
        <v>100</v>
      </c>
      <c r="K53" s="27">
        <v>0.9</v>
      </c>
      <c r="L53" s="35">
        <v>3.0524838295876258</v>
      </c>
      <c r="M53" s="34">
        <v>0.04395013053578287</v>
      </c>
      <c r="N53" s="34">
        <v>0.05447753749945582</v>
      </c>
      <c r="O53" s="34">
        <v>0.05599828079655147</v>
      </c>
      <c r="P53" s="34">
        <v>0.08487322184111153</v>
      </c>
      <c r="Q53" s="35"/>
      <c r="R53" s="35"/>
      <c r="S53" s="27" t="s">
        <v>98</v>
      </c>
      <c r="T53" s="181">
        <v>6</v>
      </c>
      <c r="U53" s="182">
        <v>50</v>
      </c>
      <c r="V53" s="182">
        <v>1</v>
      </c>
      <c r="W53" s="183">
        <v>1.5E-06</v>
      </c>
    </row>
    <row r="54" spans="10:23" ht="12.75">
      <c r="J54" s="27">
        <f t="shared" si="0"/>
        <v>100</v>
      </c>
      <c r="K54" s="27">
        <v>1</v>
      </c>
      <c r="L54" s="35">
        <v>3.383264856671396</v>
      </c>
      <c r="M54" s="34">
        <v>0.0479354300340862</v>
      </c>
      <c r="N54" s="34"/>
      <c r="O54" s="34"/>
      <c r="P54" s="34"/>
      <c r="Q54" s="35"/>
      <c r="R54" s="35"/>
      <c r="S54" s="27" t="s">
        <v>98</v>
      </c>
      <c r="T54" s="181">
        <v>6</v>
      </c>
      <c r="U54" s="182">
        <v>50</v>
      </c>
      <c r="V54" s="182">
        <v>1</v>
      </c>
      <c r="W54" s="183">
        <v>1.5E-06</v>
      </c>
    </row>
    <row r="55" spans="10:26" ht="12.75">
      <c r="J55" s="14">
        <v>10</v>
      </c>
      <c r="K55" s="14">
        <v>0.5</v>
      </c>
      <c r="L55" s="184">
        <v>0.15896769453814197</v>
      </c>
      <c r="M55" s="184">
        <v>0.0031759096261047936</v>
      </c>
      <c r="N55" s="184">
        <v>0.005044038933240149</v>
      </c>
      <c r="O55" s="184">
        <v>0.006890425783617515</v>
      </c>
      <c r="P55" s="184">
        <v>0.011421664406944637</v>
      </c>
      <c r="Q55" s="43"/>
      <c r="R55" s="43"/>
      <c r="S55" s="14" t="s">
        <v>108</v>
      </c>
      <c r="T55" s="185">
        <v>9.1</v>
      </c>
      <c r="U55" s="186">
        <v>10</v>
      </c>
      <c r="V55" s="186">
        <v>1</v>
      </c>
      <c r="W55" s="187">
        <v>1.5E-06</v>
      </c>
      <c r="X55" s="14"/>
      <c r="Y55" s="14"/>
      <c r="Z55" s="14"/>
    </row>
    <row r="56" spans="10:26" ht="12.75">
      <c r="J56" s="14">
        <v>50</v>
      </c>
      <c r="K56" s="14">
        <v>0.5</v>
      </c>
      <c r="L56" s="184">
        <v>0.7948384726907098</v>
      </c>
      <c r="M56" s="184">
        <v>0.051274821997869445</v>
      </c>
      <c r="N56" s="184">
        <v>0.08432880336319905</v>
      </c>
      <c r="O56" s="184">
        <v>0.0763512945742584</v>
      </c>
      <c r="P56" s="184">
        <v>0.12382056863138703</v>
      </c>
      <c r="Q56" s="43"/>
      <c r="R56" s="43"/>
      <c r="S56" s="14" t="s">
        <v>108</v>
      </c>
      <c r="T56" s="185">
        <v>9.1</v>
      </c>
      <c r="U56" s="186">
        <v>10</v>
      </c>
      <c r="V56" s="186">
        <v>1</v>
      </c>
      <c r="W56" s="187">
        <v>1.5E-06</v>
      </c>
      <c r="X56" s="14"/>
      <c r="Y56" s="14"/>
      <c r="Z56" s="14"/>
    </row>
    <row r="57" spans="10:26" ht="12.75">
      <c r="J57" s="14">
        <v>100</v>
      </c>
      <c r="K57" s="14">
        <v>0.5</v>
      </c>
      <c r="L57" s="184">
        <v>1.5896769453814197</v>
      </c>
      <c r="M57" s="184">
        <v>0.17556269353701953</v>
      </c>
      <c r="N57" s="184">
        <v>0.28364715380299804</v>
      </c>
      <c r="O57" s="184">
        <v>0.2723315680407857</v>
      </c>
      <c r="P57" s="184">
        <v>0.4425441914087562</v>
      </c>
      <c r="Q57" s="43"/>
      <c r="R57" s="43"/>
      <c r="S57" s="14" t="s">
        <v>108</v>
      </c>
      <c r="T57" s="185">
        <v>9.1</v>
      </c>
      <c r="U57" s="186">
        <v>10</v>
      </c>
      <c r="V57" s="186">
        <v>1</v>
      </c>
      <c r="W57" s="187">
        <v>1.5E-06</v>
      </c>
      <c r="X57" s="14"/>
      <c r="Y57" s="14" t="s">
        <v>227</v>
      </c>
      <c r="Z57" s="14"/>
    </row>
    <row r="58" spans="10:26" ht="12.75">
      <c r="J58" s="14">
        <v>200</v>
      </c>
      <c r="K58" s="14">
        <v>0.5</v>
      </c>
      <c r="L58" s="184">
        <v>3.1793538907628394</v>
      </c>
      <c r="M58" s="184">
        <v>0.612830867539803</v>
      </c>
      <c r="N58" s="184">
        <v>0.9540714993194401</v>
      </c>
      <c r="O58" s="184">
        <v>0.9401264646428307</v>
      </c>
      <c r="P58" s="184">
        <v>1.5270516137368841</v>
      </c>
      <c r="Q58" s="43"/>
      <c r="R58" s="43"/>
      <c r="S58" s="14" t="s">
        <v>108</v>
      </c>
      <c r="T58" s="185">
        <v>9.1</v>
      </c>
      <c r="U58" s="186">
        <v>10</v>
      </c>
      <c r="V58" s="186">
        <v>1</v>
      </c>
      <c r="W58" s="187">
        <v>1.5E-06</v>
      </c>
      <c r="X58" s="14"/>
      <c r="Y58" s="14">
        <v>90</v>
      </c>
      <c r="Z58" s="14">
        <v>0.1</v>
      </c>
    </row>
    <row r="59" spans="10:26" ht="12.75">
      <c r="J59" s="14">
        <v>300</v>
      </c>
      <c r="K59" s="14">
        <v>0.5</v>
      </c>
      <c r="L59" s="184">
        <v>4.769030836144259</v>
      </c>
      <c r="M59" s="184">
        <v>1.285403320483121</v>
      </c>
      <c r="N59" s="184">
        <v>1.9397270663372126</v>
      </c>
      <c r="O59" s="184">
        <v>1.945027640079671</v>
      </c>
      <c r="P59" s="184">
        <v>3.157436873067731</v>
      </c>
      <c r="Q59" s="43"/>
      <c r="R59" s="43"/>
      <c r="S59" s="14" t="s">
        <v>108</v>
      </c>
      <c r="T59" s="185">
        <v>9.1</v>
      </c>
      <c r="U59" s="186">
        <v>10</v>
      </c>
      <c r="V59" s="186">
        <v>1</v>
      </c>
      <c r="W59" s="187">
        <v>1.5E-06</v>
      </c>
      <c r="X59" s="14"/>
      <c r="Y59" s="14">
        <v>120</v>
      </c>
      <c r="Z59" s="14">
        <v>0.23</v>
      </c>
    </row>
    <row r="60" spans="10:26" ht="12.75">
      <c r="J60" s="14">
        <v>400</v>
      </c>
      <c r="K60" s="14">
        <v>0.5</v>
      </c>
      <c r="L60" s="184">
        <v>6.358707781525679</v>
      </c>
      <c r="M60" s="184">
        <v>2.183983641556775</v>
      </c>
      <c r="N60" s="184">
        <v>3.209101214693815</v>
      </c>
      <c r="O60" s="184">
        <v>3.272713840545476</v>
      </c>
      <c r="P60" s="184">
        <v>5.310524510980028</v>
      </c>
      <c r="Q60" s="43"/>
      <c r="R60" s="43"/>
      <c r="S60" s="14" t="s">
        <v>108</v>
      </c>
      <c r="T60" s="185">
        <v>9.1</v>
      </c>
      <c r="U60" s="186">
        <v>10</v>
      </c>
      <c r="V60" s="186">
        <v>1</v>
      </c>
      <c r="W60" s="187">
        <v>1.5E-06</v>
      </c>
      <c r="X60" s="14"/>
      <c r="Y60" s="14">
        <v>185</v>
      </c>
      <c r="Z60" s="14">
        <v>0.4</v>
      </c>
    </row>
    <row r="61" spans="10:26" ht="12.75">
      <c r="J61" s="14">
        <v>500</v>
      </c>
      <c r="K61" s="14">
        <v>0.5</v>
      </c>
      <c r="L61" s="184">
        <v>7.948384726907098</v>
      </c>
      <c r="M61" s="184">
        <v>3.3035416764973755</v>
      </c>
      <c r="N61" s="184">
        <v>4.742157103497773</v>
      </c>
      <c r="O61" s="184">
        <v>4.912842908146939</v>
      </c>
      <c r="P61" s="184">
        <v>7.969369192481254</v>
      </c>
      <c r="Q61" s="43"/>
      <c r="R61" s="43"/>
      <c r="S61" s="14" t="s">
        <v>108</v>
      </c>
      <c r="T61" s="185">
        <v>9.1</v>
      </c>
      <c r="U61" s="186">
        <v>10</v>
      </c>
      <c r="V61" s="186">
        <v>1</v>
      </c>
      <c r="W61" s="187">
        <v>1.5E-06</v>
      </c>
      <c r="X61" s="14"/>
      <c r="Y61" s="14">
        <v>250</v>
      </c>
      <c r="Z61" s="14">
        <v>1</v>
      </c>
    </row>
    <row r="62" spans="10:26" ht="12.75">
      <c r="J62" s="14">
        <v>600</v>
      </c>
      <c r="K62" s="14">
        <v>0.5</v>
      </c>
      <c r="L62" s="184">
        <v>9.538061672288517</v>
      </c>
      <c r="M62" s="184">
        <v>4.6409215256075464</v>
      </c>
      <c r="N62" s="184">
        <v>6.524438146614264</v>
      </c>
      <c r="O62" s="184">
        <v>6.858520140843936</v>
      </c>
      <c r="P62" s="184">
        <v>11.122658635564658</v>
      </c>
      <c r="Q62" s="43"/>
      <c r="R62" s="43"/>
      <c r="S62" s="14" t="s">
        <v>108</v>
      </c>
      <c r="T62" s="185">
        <v>9.1</v>
      </c>
      <c r="U62" s="186">
        <v>10</v>
      </c>
      <c r="V62" s="186">
        <v>1</v>
      </c>
      <c r="W62" s="187">
        <v>1.5E-06</v>
      </c>
      <c r="X62" s="14"/>
      <c r="Y62" s="14"/>
      <c r="Z62" s="14"/>
    </row>
    <row r="63" spans="10:26" ht="12.75">
      <c r="J63" s="14">
        <v>700</v>
      </c>
      <c r="K63" s="14">
        <v>0.5</v>
      </c>
      <c r="L63" s="184">
        <v>11.127738617669937</v>
      </c>
      <c r="M63" s="184">
        <v>6.1939695756506055</v>
      </c>
      <c r="N63" s="184">
        <v>8.544762579044988</v>
      </c>
      <c r="O63" s="184">
        <v>9.10475876261838</v>
      </c>
      <c r="P63" s="184">
        <v>14.7622009336392</v>
      </c>
      <c r="Q63" s="43"/>
      <c r="R63" s="43"/>
      <c r="S63" s="14" t="s">
        <v>108</v>
      </c>
      <c r="T63" s="185">
        <v>9.1</v>
      </c>
      <c r="U63" s="186">
        <v>10</v>
      </c>
      <c r="V63" s="186">
        <v>1</v>
      </c>
      <c r="W63" s="187">
        <v>1.5E-06</v>
      </c>
      <c r="X63" s="14"/>
      <c r="Y63" s="14"/>
      <c r="Z63" s="14"/>
    </row>
    <row r="64" spans="10:26" ht="12.75">
      <c r="J64" s="14">
        <v>800</v>
      </c>
      <c r="K64" s="14">
        <v>0.5</v>
      </c>
      <c r="L64" s="184">
        <v>12.717415563051357</v>
      </c>
      <c r="M64" s="184">
        <v>7.9611318573708205</v>
      </c>
      <c r="N64" s="184">
        <v>10.794086830489475</v>
      </c>
      <c r="O64" s="184">
        <v>11.647754229989477</v>
      </c>
      <c r="P64" s="184">
        <v>18.881739454756357</v>
      </c>
      <c r="Q64" s="43"/>
      <c r="R64" s="43"/>
      <c r="S64" s="14" t="s">
        <v>108</v>
      </c>
      <c r="T64" s="185">
        <v>9.1</v>
      </c>
      <c r="U64" s="186">
        <v>10</v>
      </c>
      <c r="V64" s="186">
        <v>1</v>
      </c>
      <c r="W64" s="187">
        <v>1.5E-06</v>
      </c>
      <c r="X64" s="14"/>
      <c r="Y64" s="14"/>
      <c r="Z64" s="14"/>
    </row>
    <row r="65" spans="10:26" ht="12.75">
      <c r="J65" s="14">
        <v>1000</v>
      </c>
      <c r="K65" s="14">
        <v>0.5</v>
      </c>
      <c r="L65" s="184">
        <v>15.896769453814196</v>
      </c>
      <c r="M65" s="184">
        <v>12.13339217865336</v>
      </c>
      <c r="N65" s="184">
        <v>15.950651635604858</v>
      </c>
      <c r="O65" s="184">
        <v>17.61251198923649</v>
      </c>
      <c r="P65" s="184">
        <v>28.541865209712032</v>
      </c>
      <c r="Q65" s="43"/>
      <c r="R65" s="43"/>
      <c r="S65" s="14" t="s">
        <v>108</v>
      </c>
      <c r="T65" s="185">
        <v>9.1</v>
      </c>
      <c r="U65" s="186">
        <v>10</v>
      </c>
      <c r="V65" s="186">
        <v>1</v>
      </c>
      <c r="W65" s="187">
        <v>1.5E-06</v>
      </c>
      <c r="X65" s="14"/>
      <c r="Y65" s="14"/>
      <c r="Z65" s="14"/>
    </row>
    <row r="66" spans="10:23" ht="12.75">
      <c r="J66" s="20">
        <v>1000</v>
      </c>
      <c r="K66" s="20">
        <v>0</v>
      </c>
      <c r="L66" s="19">
        <v>0.7545458583369364</v>
      </c>
      <c r="M66" s="21">
        <v>0.11513632845401389</v>
      </c>
      <c r="N66" s="21">
        <v>0.10726091049302675</v>
      </c>
      <c r="O66" s="21"/>
      <c r="P66" s="21"/>
      <c r="Q66" s="18"/>
      <c r="R66" s="18"/>
      <c r="S66" s="20" t="s">
        <v>98</v>
      </c>
      <c r="T66" s="188">
        <v>6</v>
      </c>
      <c r="U66" s="189">
        <v>50</v>
      </c>
      <c r="V66" s="189">
        <v>1</v>
      </c>
      <c r="W66" s="190">
        <v>1.5E-06</v>
      </c>
    </row>
    <row r="67" spans="10:23" ht="12.75">
      <c r="J67" s="20">
        <f>J66</f>
        <v>1000</v>
      </c>
      <c r="K67" s="20">
        <v>0.1</v>
      </c>
      <c r="L67" s="19">
        <v>4.062356129174639</v>
      </c>
      <c r="M67" s="21">
        <v>0.5362278632049249</v>
      </c>
      <c r="N67" s="21">
        <v>0.6696518401534621</v>
      </c>
      <c r="O67" s="21">
        <v>0.6922722877965211</v>
      </c>
      <c r="P67" s="21">
        <v>1.2407123893916696</v>
      </c>
      <c r="Q67" s="18"/>
      <c r="R67" s="18"/>
      <c r="S67" s="20" t="s">
        <v>98</v>
      </c>
      <c r="T67" s="188">
        <v>6</v>
      </c>
      <c r="U67" s="189">
        <v>50</v>
      </c>
      <c r="V67" s="189">
        <v>1</v>
      </c>
      <c r="W67" s="190">
        <v>1.5E-06</v>
      </c>
    </row>
    <row r="68" spans="10:23" ht="12.75">
      <c r="J68" s="20">
        <f aca="true" t="shared" si="1" ref="J68:J76">J67</f>
        <v>1000</v>
      </c>
      <c r="K68" s="20">
        <v>0.2</v>
      </c>
      <c r="L68" s="19">
        <v>7.370166400012342</v>
      </c>
      <c r="M68" s="21">
        <v>0.9121378891113545</v>
      </c>
      <c r="N68" s="21">
        <v>1.105844125008126</v>
      </c>
      <c r="O68" s="21">
        <v>1.1890372471613728</v>
      </c>
      <c r="P68" s="21">
        <v>2.0399147660532666</v>
      </c>
      <c r="Q68" s="18"/>
      <c r="R68" s="18"/>
      <c r="S68" s="20" t="s">
        <v>98</v>
      </c>
      <c r="T68" s="188">
        <v>6</v>
      </c>
      <c r="U68" s="189">
        <v>50</v>
      </c>
      <c r="V68" s="189">
        <v>1</v>
      </c>
      <c r="W68" s="190">
        <v>1.5E-06</v>
      </c>
    </row>
    <row r="69" spans="10:23" ht="12.75">
      <c r="J69" s="20">
        <f t="shared" si="1"/>
        <v>1000</v>
      </c>
      <c r="K69" s="20">
        <v>0.3</v>
      </c>
      <c r="L69" s="19">
        <v>10.677976670850043</v>
      </c>
      <c r="M69" s="21">
        <v>1.270751428865609</v>
      </c>
      <c r="N69" s="21">
        <v>1.5186744917894153</v>
      </c>
      <c r="O69" s="21">
        <v>1.695250281575461</v>
      </c>
      <c r="P69" s="21">
        <v>2.8209692897445353</v>
      </c>
      <c r="Q69" s="18"/>
      <c r="R69" s="18"/>
      <c r="S69" s="20" t="s">
        <v>98</v>
      </c>
      <c r="T69" s="188">
        <v>6</v>
      </c>
      <c r="U69" s="189">
        <v>50</v>
      </c>
      <c r="V69" s="189">
        <v>1</v>
      </c>
      <c r="W69" s="190">
        <v>1.5E-06</v>
      </c>
    </row>
    <row r="70" spans="10:23" ht="12.75">
      <c r="J70" s="20">
        <f t="shared" si="1"/>
        <v>1000</v>
      </c>
      <c r="K70" s="20">
        <v>0.4</v>
      </c>
      <c r="L70" s="19">
        <v>13.985786941687747</v>
      </c>
      <c r="M70" s="21">
        <v>1.6199428248357404</v>
      </c>
      <c r="N70" s="21">
        <v>1.907444335410335</v>
      </c>
      <c r="O70" s="21">
        <v>2.2051496281358296</v>
      </c>
      <c r="P70" s="21">
        <v>3.6032308736851673</v>
      </c>
      <c r="Q70" s="18"/>
      <c r="R70" s="18"/>
      <c r="S70" s="20" t="s">
        <v>98</v>
      </c>
      <c r="T70" s="188">
        <v>6</v>
      </c>
      <c r="U70" s="189">
        <v>50</v>
      </c>
      <c r="V70" s="189">
        <v>1</v>
      </c>
      <c r="W70" s="190">
        <v>1.5E-06</v>
      </c>
    </row>
    <row r="71" spans="10:23" ht="12.75">
      <c r="J71" s="20">
        <f t="shared" si="1"/>
        <v>1000</v>
      </c>
      <c r="K71" s="20">
        <v>0.5</v>
      </c>
      <c r="L71" s="19">
        <v>17.29359721252545</v>
      </c>
      <c r="M71" s="21">
        <v>1.9631732239321429</v>
      </c>
      <c r="N71" s="21">
        <v>2.265561908889136</v>
      </c>
      <c r="O71" s="21">
        <v>2.7077477590590524</v>
      </c>
      <c r="P71" s="21">
        <v>4.377913246538106</v>
      </c>
      <c r="Q71" s="18"/>
      <c r="R71" s="18"/>
      <c r="S71" s="20" t="s">
        <v>98</v>
      </c>
      <c r="T71" s="188">
        <v>6</v>
      </c>
      <c r="U71" s="189">
        <v>50</v>
      </c>
      <c r="V71" s="189">
        <v>1</v>
      </c>
      <c r="W71" s="190">
        <v>1.5E-06</v>
      </c>
    </row>
    <row r="72" spans="10:23" ht="12.75">
      <c r="J72" s="20">
        <f t="shared" si="1"/>
        <v>1000</v>
      </c>
      <c r="K72" s="20">
        <v>0.6</v>
      </c>
      <c r="L72" s="19">
        <v>20.60140748336315</v>
      </c>
      <c r="M72" s="21">
        <v>2.302293497630787</v>
      </c>
      <c r="N72" s="21">
        <v>2.5829406886680015</v>
      </c>
      <c r="O72" s="21">
        <v>3.1883054400165527</v>
      </c>
      <c r="P72" s="21">
        <v>5.120004965272608</v>
      </c>
      <c r="Q72" s="18"/>
      <c r="R72" s="18"/>
      <c r="S72" s="20" t="s">
        <v>98</v>
      </c>
      <c r="T72" s="188">
        <v>6</v>
      </c>
      <c r="U72" s="189">
        <v>50</v>
      </c>
      <c r="V72" s="189">
        <v>1</v>
      </c>
      <c r="W72" s="190">
        <v>1.5E-06</v>
      </c>
    </row>
    <row r="73" spans="10:23" ht="12.75">
      <c r="J73" s="20">
        <f t="shared" si="1"/>
        <v>1000</v>
      </c>
      <c r="K73" s="20">
        <v>0.7</v>
      </c>
      <c r="L73" s="19">
        <v>23.909217754200853</v>
      </c>
      <c r="M73" s="21">
        <v>2.6384141384068465</v>
      </c>
      <c r="N73" s="21">
        <v>2.844435939472361</v>
      </c>
      <c r="O73" s="21">
        <v>3.625978310129594</v>
      </c>
      <c r="P73" s="21">
        <v>5.783125348326515</v>
      </c>
      <c r="Q73" s="18"/>
      <c r="R73" s="18"/>
      <c r="S73" s="20" t="s">
        <v>98</v>
      </c>
      <c r="T73" s="188">
        <v>6</v>
      </c>
      <c r="U73" s="189">
        <v>50</v>
      </c>
      <c r="V73" s="189">
        <v>1</v>
      </c>
      <c r="W73" s="190">
        <v>1.5E-06</v>
      </c>
    </row>
    <row r="74" spans="10:23" ht="12.75">
      <c r="J74" s="20">
        <f t="shared" si="1"/>
        <v>1000</v>
      </c>
      <c r="K74" s="20">
        <v>0.8</v>
      </c>
      <c r="L74" s="19">
        <v>27.217028025038555</v>
      </c>
      <c r="M74" s="21">
        <v>2.972254616965356</v>
      </c>
      <c r="N74" s="21">
        <v>3.0241475047993696</v>
      </c>
      <c r="O74" s="21">
        <v>3.986629547341121</v>
      </c>
      <c r="P74" s="21">
        <v>6.2753315583425255</v>
      </c>
      <c r="Q74" s="18"/>
      <c r="R74" s="18"/>
      <c r="S74" s="20" t="s">
        <v>98</v>
      </c>
      <c r="T74" s="188">
        <v>6</v>
      </c>
      <c r="U74" s="189">
        <v>50</v>
      </c>
      <c r="V74" s="189">
        <v>1</v>
      </c>
      <c r="W74" s="190">
        <v>1.5E-06</v>
      </c>
    </row>
    <row r="75" spans="10:23" ht="12.75">
      <c r="J75" s="20">
        <f t="shared" si="1"/>
        <v>1000</v>
      </c>
      <c r="K75" s="20">
        <v>0.9</v>
      </c>
      <c r="L75" s="19">
        <v>30.524838295876258</v>
      </c>
      <c r="M75" s="21">
        <v>3.304307598104007</v>
      </c>
      <c r="N75" s="21">
        <v>3.0634970630550895</v>
      </c>
      <c r="O75" s="21">
        <v>4.1961431142039185</v>
      </c>
      <c r="P75" s="21">
        <v>6.353576106366008</v>
      </c>
      <c r="Q75" s="18"/>
      <c r="R75" s="18"/>
      <c r="S75" s="20" t="s">
        <v>98</v>
      </c>
      <c r="T75" s="188">
        <v>6</v>
      </c>
      <c r="U75" s="189">
        <v>50</v>
      </c>
      <c r="V75" s="189">
        <v>1</v>
      </c>
      <c r="W75" s="190">
        <v>1.5E-06</v>
      </c>
    </row>
    <row r="76" spans="10:23" ht="12.75">
      <c r="J76" s="20">
        <f t="shared" si="1"/>
        <v>1000</v>
      </c>
      <c r="K76" s="20">
        <v>1</v>
      </c>
      <c r="L76" s="19">
        <v>33.83264856671396</v>
      </c>
      <c r="M76" s="21">
        <v>3.634924915659935</v>
      </c>
      <c r="N76" s="21"/>
      <c r="O76" s="21"/>
      <c r="P76" s="21"/>
      <c r="Q76" s="18"/>
      <c r="R76" s="18"/>
      <c r="S76" s="20" t="s">
        <v>98</v>
      </c>
      <c r="T76" s="188">
        <v>6</v>
      </c>
      <c r="U76" s="189">
        <v>50</v>
      </c>
      <c r="V76" s="189">
        <v>1</v>
      </c>
      <c r="W76" s="190">
        <v>1.5E-06</v>
      </c>
    </row>
    <row r="77" spans="10:23" ht="12.75">
      <c r="J77" s="24">
        <v>2000</v>
      </c>
      <c r="K77" s="24">
        <v>0</v>
      </c>
      <c r="L77" s="167">
        <v>1.5090917166738729</v>
      </c>
      <c r="M77" s="33">
        <v>0.4107667774950414</v>
      </c>
      <c r="N77" s="33">
        <v>0.36078126052174275</v>
      </c>
      <c r="O77" s="33"/>
      <c r="P77" s="33"/>
      <c r="Q77" s="33"/>
      <c r="R77" s="33"/>
      <c r="S77" s="24" t="s">
        <v>98</v>
      </c>
      <c r="T77" s="191">
        <v>6</v>
      </c>
      <c r="U77" s="192">
        <v>50</v>
      </c>
      <c r="V77" s="192">
        <v>1</v>
      </c>
      <c r="W77" s="193">
        <v>1.5E-06</v>
      </c>
    </row>
    <row r="78" spans="10:23" ht="12.75">
      <c r="J78" s="24">
        <f>J77</f>
        <v>2000</v>
      </c>
      <c r="K78" s="24">
        <v>0.1</v>
      </c>
      <c r="L78" s="167">
        <v>8.124712258349279</v>
      </c>
      <c r="M78" s="33">
        <v>1.9542157517446854</v>
      </c>
      <c r="N78" s="33">
        <v>2.2524313274123986</v>
      </c>
      <c r="O78" s="33">
        <v>2.4777579223208694</v>
      </c>
      <c r="P78" s="33">
        <v>4.4396020107105745</v>
      </c>
      <c r="Q78" s="33"/>
      <c r="R78" s="33"/>
      <c r="S78" s="24" t="s">
        <v>98</v>
      </c>
      <c r="T78" s="191">
        <v>6</v>
      </c>
      <c r="U78" s="192">
        <v>50</v>
      </c>
      <c r="V78" s="192">
        <v>1</v>
      </c>
      <c r="W78" s="193">
        <v>1.5E-06</v>
      </c>
    </row>
    <row r="79" spans="10:23" ht="12.75">
      <c r="J79" s="24">
        <f aca="true" t="shared" si="2" ref="J79:J87">J78</f>
        <v>2000</v>
      </c>
      <c r="K79" s="24">
        <v>0.2</v>
      </c>
      <c r="L79" s="167">
        <v>14.740332800024683</v>
      </c>
      <c r="M79" s="33">
        <v>3.3657429898034796</v>
      </c>
      <c r="N79" s="33">
        <v>3.719601442194854</v>
      </c>
      <c r="O79" s="33">
        <v>4.299031698818154</v>
      </c>
      <c r="P79" s="33">
        <v>7.367594542454086</v>
      </c>
      <c r="Q79" s="33"/>
      <c r="R79" s="33"/>
      <c r="S79" s="24" t="s">
        <v>98</v>
      </c>
      <c r="T79" s="191">
        <v>6</v>
      </c>
      <c r="U79" s="192">
        <v>50</v>
      </c>
      <c r="V79" s="192">
        <v>1</v>
      </c>
      <c r="W79" s="193">
        <v>1.5E-06</v>
      </c>
    </row>
    <row r="80" spans="10:23" ht="12.75">
      <c r="J80" s="24">
        <f t="shared" si="2"/>
        <v>2000</v>
      </c>
      <c r="K80" s="24">
        <v>0.3</v>
      </c>
      <c r="L80" s="167">
        <v>21.355953341700086</v>
      </c>
      <c r="M80" s="33">
        <v>4.7305837617612205</v>
      </c>
      <c r="N80" s="33">
        <v>5.1081917443319025</v>
      </c>
      <c r="O80" s="33">
        <v>6.1808382678880704</v>
      </c>
      <c r="P80" s="33">
        <v>10.272675852516231</v>
      </c>
      <c r="Q80" s="33"/>
      <c r="R80" s="33"/>
      <c r="S80" s="24" t="s">
        <v>98</v>
      </c>
      <c r="T80" s="191">
        <v>6</v>
      </c>
      <c r="U80" s="192">
        <v>50</v>
      </c>
      <c r="V80" s="192">
        <v>1</v>
      </c>
      <c r="W80" s="193">
        <v>1.5E-06</v>
      </c>
    </row>
    <row r="81" spans="10:23" ht="12.75">
      <c r="J81" s="24">
        <f t="shared" si="2"/>
        <v>2000</v>
      </c>
      <c r="K81" s="24">
        <v>0.4</v>
      </c>
      <c r="L81" s="167">
        <v>27.971573883375495</v>
      </c>
      <c r="M81" s="33">
        <v>6.071482076381896</v>
      </c>
      <c r="N81" s="33">
        <v>6.415852415770217</v>
      </c>
      <c r="O81" s="33">
        <v>8.097744480213464</v>
      </c>
      <c r="P81" s="33">
        <v>13.218565153912962</v>
      </c>
      <c r="Q81" s="33"/>
      <c r="R81" s="33"/>
      <c r="S81" s="24" t="s">
        <v>98</v>
      </c>
      <c r="T81" s="191">
        <v>6</v>
      </c>
      <c r="U81" s="192">
        <v>50</v>
      </c>
      <c r="V81" s="192">
        <v>1</v>
      </c>
      <c r="W81" s="193">
        <v>1.5E-06</v>
      </c>
    </row>
    <row r="82" spans="10:23" ht="12.75">
      <c r="J82" s="24">
        <f t="shared" si="2"/>
        <v>2000</v>
      </c>
      <c r="K82" s="24">
        <v>0.5</v>
      </c>
      <c r="L82" s="167">
        <v>34.5871944250509</v>
      </c>
      <c r="M82" s="33">
        <v>7.397943038720346</v>
      </c>
      <c r="N82" s="33">
        <v>7.620411550880947</v>
      </c>
      <c r="O82" s="33">
        <v>10.006483613467925</v>
      </c>
      <c r="P82" s="33">
        <v>16.16692577176475</v>
      </c>
      <c r="Q82" s="33"/>
      <c r="R82" s="33"/>
      <c r="S82" s="24" t="s">
        <v>98</v>
      </c>
      <c r="T82" s="191">
        <v>6</v>
      </c>
      <c r="U82" s="192">
        <v>50</v>
      </c>
      <c r="V82" s="192">
        <v>1</v>
      </c>
      <c r="W82" s="193">
        <v>1.5E-06</v>
      </c>
    </row>
    <row r="83" spans="10:23" ht="12.75">
      <c r="J83" s="24">
        <f t="shared" si="2"/>
        <v>2000</v>
      </c>
      <c r="K83" s="24">
        <v>0.6</v>
      </c>
      <c r="L83" s="167">
        <v>41.2028149667263</v>
      </c>
      <c r="M83" s="33">
        <v>8.714830892156687</v>
      </c>
      <c r="N83" s="33">
        <v>8.68794226365553</v>
      </c>
      <c r="O83" s="33">
        <v>11.850454095181814</v>
      </c>
      <c r="P83" s="33">
        <v>19.018713135294806</v>
      </c>
      <c r="Q83" s="33"/>
      <c r="R83" s="33"/>
      <c r="S83" s="24" t="s">
        <v>98</v>
      </c>
      <c r="T83" s="191">
        <v>6</v>
      </c>
      <c r="U83" s="192">
        <v>50</v>
      </c>
      <c r="V83" s="192">
        <v>1</v>
      </c>
      <c r="W83" s="193">
        <v>1.5E-06</v>
      </c>
    </row>
    <row r="84" spans="10:23" ht="12.75">
      <c r="J84" s="24">
        <f t="shared" si="2"/>
        <v>2000</v>
      </c>
      <c r="K84" s="24">
        <v>0.7</v>
      </c>
      <c r="L84" s="167">
        <v>47.818435508401706</v>
      </c>
      <c r="M84" s="33">
        <v>10.024954641657366</v>
      </c>
      <c r="N84" s="33">
        <v>9.56750393968456</v>
      </c>
      <c r="O84" s="33">
        <v>13.550685430155312</v>
      </c>
      <c r="P84" s="33">
        <v>21.59339395181929</v>
      </c>
      <c r="Q84" s="33"/>
      <c r="R84" s="33"/>
      <c r="S84" s="24" t="s">
        <v>98</v>
      </c>
      <c r="T84" s="191">
        <v>6</v>
      </c>
      <c r="U84" s="192">
        <v>50</v>
      </c>
      <c r="V84" s="192">
        <v>1</v>
      </c>
      <c r="W84" s="193">
        <v>1.5E-06</v>
      </c>
    </row>
    <row r="85" spans="10:23" ht="12.75">
      <c r="J85" s="24">
        <f t="shared" si="2"/>
        <v>2000</v>
      </c>
      <c r="K85" s="24">
        <v>0.8</v>
      </c>
      <c r="L85" s="167">
        <v>54.43405605007711</v>
      </c>
      <c r="M85" s="33">
        <v>11.330074536319229</v>
      </c>
      <c r="N85" s="33">
        <v>10.17197918393702</v>
      </c>
      <c r="O85" s="33">
        <v>14.97903306295711</v>
      </c>
      <c r="P85" s="33">
        <v>23.535760852048334</v>
      </c>
      <c r="Q85" s="33"/>
      <c r="R85" s="33"/>
      <c r="S85" s="24" t="s">
        <v>98</v>
      </c>
      <c r="T85" s="191">
        <v>6</v>
      </c>
      <c r="U85" s="192">
        <v>50</v>
      </c>
      <c r="V85" s="192">
        <v>1</v>
      </c>
      <c r="W85" s="193">
        <v>1.5E-06</v>
      </c>
    </row>
    <row r="86" spans="10:23" ht="12.75">
      <c r="J86" s="24">
        <f t="shared" si="2"/>
        <v>2000</v>
      </c>
      <c r="K86" s="24">
        <v>0.9</v>
      </c>
      <c r="L86" s="167">
        <v>61.049676591752515</v>
      </c>
      <c r="M86" s="33">
        <v>12.631361236080549</v>
      </c>
      <c r="N86" s="33">
        <v>10.30433479385323</v>
      </c>
      <c r="O86" s="33">
        <v>15.859232579753229</v>
      </c>
      <c r="P86" s="33">
        <v>23.911040964603224</v>
      </c>
      <c r="Q86" s="33"/>
      <c r="R86" s="33"/>
      <c r="S86" s="24" t="s">
        <v>98</v>
      </c>
      <c r="T86" s="191">
        <v>6</v>
      </c>
      <c r="U86" s="192">
        <v>50</v>
      </c>
      <c r="V86" s="192">
        <v>1</v>
      </c>
      <c r="W86" s="193">
        <v>1.5E-06</v>
      </c>
    </row>
    <row r="87" spans="10:23" ht="12.75">
      <c r="J87" s="24">
        <f t="shared" si="2"/>
        <v>2000</v>
      </c>
      <c r="K87" s="24">
        <v>1</v>
      </c>
      <c r="L87" s="167">
        <v>67.66529713342791</v>
      </c>
      <c r="M87" s="33">
        <v>13.929629537653119</v>
      </c>
      <c r="N87" s="33"/>
      <c r="O87" s="33"/>
      <c r="P87" s="33"/>
      <c r="Q87" s="33"/>
      <c r="R87" s="33"/>
      <c r="S87" s="24" t="s">
        <v>98</v>
      </c>
      <c r="T87" s="191">
        <v>6</v>
      </c>
      <c r="U87" s="192">
        <v>50</v>
      </c>
      <c r="V87" s="192">
        <v>1</v>
      </c>
      <c r="W87" s="193">
        <v>1.5E-06</v>
      </c>
    </row>
    <row r="88" spans="10:23" ht="12.75">
      <c r="J88" s="176">
        <v>5000</v>
      </c>
      <c r="K88" s="176">
        <v>0</v>
      </c>
      <c r="L88" s="194">
        <v>3.772729291684682</v>
      </c>
      <c r="M88" s="195">
        <v>2.263157755058386</v>
      </c>
      <c r="N88" s="195">
        <v>1.7932423498788876</v>
      </c>
      <c r="O88" s="195"/>
      <c r="P88" s="195"/>
      <c r="Q88" s="195"/>
      <c r="R88" s="195"/>
      <c r="S88" s="176" t="s">
        <v>98</v>
      </c>
      <c r="T88" s="196">
        <v>6</v>
      </c>
      <c r="U88" s="197">
        <v>50</v>
      </c>
      <c r="V88" s="197">
        <v>1</v>
      </c>
      <c r="W88" s="198">
        <v>1.5E-06</v>
      </c>
    </row>
    <row r="89" spans="10:23" ht="12.75">
      <c r="J89" s="176">
        <f>J88</f>
        <v>5000</v>
      </c>
      <c r="K89" s="176">
        <v>0.1</v>
      </c>
      <c r="L89" s="194">
        <v>20.3117806458732</v>
      </c>
      <c r="M89" s="195">
        <v>11.11705953976216</v>
      </c>
      <c r="N89" s="195">
        <v>11.195579395306227</v>
      </c>
      <c r="O89" s="195">
        <v>13.719070855205137</v>
      </c>
      <c r="P89" s="195">
        <v>24.572010136787764</v>
      </c>
      <c r="Q89" s="195"/>
      <c r="R89" s="195"/>
      <c r="S89" s="176" t="s">
        <v>98</v>
      </c>
      <c r="T89" s="196">
        <v>6</v>
      </c>
      <c r="U89" s="197">
        <v>50</v>
      </c>
      <c r="V89" s="197">
        <v>1</v>
      </c>
      <c r="W89" s="198">
        <v>1.5E-06</v>
      </c>
    </row>
    <row r="90" spans="10:23" ht="12.75">
      <c r="J90" s="176">
        <f aca="true" t="shared" si="3" ref="J90:J98">J89</f>
        <v>5000</v>
      </c>
      <c r="K90" s="176">
        <v>0.2</v>
      </c>
      <c r="L90" s="194">
        <v>36.85083200006171</v>
      </c>
      <c r="M90" s="195">
        <v>19.479330079611017</v>
      </c>
      <c r="N90" s="195">
        <v>18.488063435357994</v>
      </c>
      <c r="O90" s="195">
        <v>24.1602151484169</v>
      </c>
      <c r="P90" s="195">
        <v>41.33988695121433</v>
      </c>
      <c r="Q90" s="195"/>
      <c r="R90" s="195"/>
      <c r="S90" s="176" t="s">
        <v>98</v>
      </c>
      <c r="T90" s="196">
        <v>6</v>
      </c>
      <c r="U90" s="197">
        <v>50</v>
      </c>
      <c r="V90" s="197">
        <v>1</v>
      </c>
      <c r="W90" s="198">
        <v>1.5E-06</v>
      </c>
    </row>
    <row r="91" spans="10:23" ht="12.75">
      <c r="J91" s="176">
        <f t="shared" si="3"/>
        <v>5000</v>
      </c>
      <c r="K91" s="176">
        <v>0.3</v>
      </c>
      <c r="L91" s="194">
        <v>53.389883354250216</v>
      </c>
      <c r="M91" s="195">
        <v>27.6897150220297</v>
      </c>
      <c r="N91" s="195">
        <v>25.38997106997919</v>
      </c>
      <c r="O91" s="195">
        <v>35.13605367779745</v>
      </c>
      <c r="P91" s="195">
        <v>58.295824760029994</v>
      </c>
      <c r="Q91" s="195"/>
      <c r="R91" s="195"/>
      <c r="S91" s="176" t="s">
        <v>98</v>
      </c>
      <c r="T91" s="196">
        <v>6</v>
      </c>
      <c r="U91" s="197">
        <v>50</v>
      </c>
      <c r="V91" s="197">
        <v>1</v>
      </c>
      <c r="W91" s="198">
        <v>1.5E-06</v>
      </c>
    </row>
    <row r="92" spans="10:23" ht="12.75">
      <c r="J92" s="176">
        <f t="shared" si="3"/>
        <v>5000</v>
      </c>
      <c r="K92" s="176">
        <v>0.4</v>
      </c>
      <c r="L92" s="194">
        <v>69.92893470843873</v>
      </c>
      <c r="M92" s="195">
        <v>35.82869945802964</v>
      </c>
      <c r="N92" s="195">
        <v>31.889622664696446</v>
      </c>
      <c r="O92" s="195">
        <v>46.460391934555005</v>
      </c>
      <c r="P92" s="195">
        <v>75.73734107453694</v>
      </c>
      <c r="Q92" s="195"/>
      <c r="R92" s="195"/>
      <c r="S92" s="176" t="s">
        <v>98</v>
      </c>
      <c r="T92" s="196">
        <v>6</v>
      </c>
      <c r="U92" s="197">
        <v>50</v>
      </c>
      <c r="V92" s="197">
        <v>1</v>
      </c>
      <c r="W92" s="198">
        <v>1.5E-06</v>
      </c>
    </row>
    <row r="93" spans="10:23" ht="12.75">
      <c r="J93" s="176">
        <f t="shared" si="3"/>
        <v>5000</v>
      </c>
      <c r="K93" s="176">
        <v>0.5</v>
      </c>
      <c r="L93" s="194">
        <v>86.46798606262725</v>
      </c>
      <c r="M93" s="195">
        <v>43.9271818370626</v>
      </c>
      <c r="N93" s="195">
        <v>37.8768140473372</v>
      </c>
      <c r="O93" s="195">
        <v>57.86200710561146</v>
      </c>
      <c r="P93" s="195">
        <v>93.39430946461543</v>
      </c>
      <c r="Q93" s="195"/>
      <c r="R93" s="195"/>
      <c r="S93" s="176" t="s">
        <v>98</v>
      </c>
      <c r="T93" s="196">
        <v>6</v>
      </c>
      <c r="U93" s="197">
        <v>50</v>
      </c>
      <c r="V93" s="197">
        <v>1</v>
      </c>
      <c r="W93" s="198">
        <v>1.5E-06</v>
      </c>
    </row>
    <row r="94" spans="10:23" ht="12.75">
      <c r="J94" s="176">
        <f t="shared" si="3"/>
        <v>5000</v>
      </c>
      <c r="K94" s="176">
        <v>0.6</v>
      </c>
      <c r="L94" s="194">
        <v>103.00703741681575</v>
      </c>
      <c r="M94" s="195">
        <v>51.99999107032682</v>
      </c>
      <c r="N94" s="195">
        <v>43.18291359689627</v>
      </c>
      <c r="O94" s="195">
        <v>69.00001261713305</v>
      </c>
      <c r="P94" s="195">
        <v>110.64431918299226</v>
      </c>
      <c r="Q94" s="195"/>
      <c r="R94" s="195"/>
      <c r="S94" s="176" t="s">
        <v>98</v>
      </c>
      <c r="T94" s="196">
        <v>6</v>
      </c>
      <c r="U94" s="197">
        <v>50</v>
      </c>
      <c r="V94" s="197">
        <v>1</v>
      </c>
      <c r="W94" s="198">
        <v>1.5E-06</v>
      </c>
    </row>
    <row r="95" spans="10:23" ht="12.75">
      <c r="J95" s="176">
        <f t="shared" si="3"/>
        <v>5000</v>
      </c>
      <c r="K95" s="176">
        <v>0.7</v>
      </c>
      <c r="L95" s="194">
        <v>119.54608877100426</v>
      </c>
      <c r="M95" s="195">
        <v>60.055271450588926</v>
      </c>
      <c r="N95" s="195">
        <v>47.554723941216125</v>
      </c>
      <c r="O95" s="195">
        <v>79.40834806037287</v>
      </c>
      <c r="P95" s="195">
        <v>126.3787909957073</v>
      </c>
      <c r="Q95" s="195"/>
      <c r="R95" s="195"/>
      <c r="S95" s="176" t="s">
        <v>98</v>
      </c>
      <c r="T95" s="196">
        <v>6</v>
      </c>
      <c r="U95" s="197">
        <v>50</v>
      </c>
      <c r="V95" s="197">
        <v>1</v>
      </c>
      <c r="W95" s="198">
        <v>1.5E-06</v>
      </c>
    </row>
    <row r="96" spans="10:23" ht="12.75">
      <c r="J96" s="176">
        <f t="shared" si="3"/>
        <v>5000</v>
      </c>
      <c r="K96" s="176">
        <v>0.8</v>
      </c>
      <c r="L96" s="194">
        <v>136.08514012519277</v>
      </c>
      <c r="M96" s="195">
        <v>68.09792578310525</v>
      </c>
      <c r="N96" s="195">
        <v>50.559233116330475</v>
      </c>
      <c r="O96" s="195">
        <v>88.33983622886507</v>
      </c>
      <c r="P96" s="195">
        <v>138.4379499715372</v>
      </c>
      <c r="Q96" s="195"/>
      <c r="R96" s="195"/>
      <c r="S96" s="176" t="s">
        <v>98</v>
      </c>
      <c r="T96" s="196">
        <v>6</v>
      </c>
      <c r="U96" s="197">
        <v>50</v>
      </c>
      <c r="V96" s="197">
        <v>1</v>
      </c>
      <c r="W96" s="198">
        <v>1.5E-06</v>
      </c>
    </row>
    <row r="97" spans="10:23" ht="12.75">
      <c r="J97" s="176">
        <f t="shared" si="3"/>
        <v>5000</v>
      </c>
      <c r="K97" s="176">
        <v>0.9</v>
      </c>
      <c r="L97" s="194">
        <v>152.6241914793813</v>
      </c>
      <c r="M97" s="195">
        <v>76.13110988597981</v>
      </c>
      <c r="N97" s="195">
        <v>51.21709900604593</v>
      </c>
      <c r="O97" s="195">
        <v>94.19609213273966</v>
      </c>
      <c r="P97" s="195">
        <v>141.1700505663065</v>
      </c>
      <c r="Q97" s="195"/>
      <c r="R97" s="195"/>
      <c r="S97" s="176" t="s">
        <v>98</v>
      </c>
      <c r="T97" s="196">
        <v>6</v>
      </c>
      <c r="U97" s="197">
        <v>50</v>
      </c>
      <c r="V97" s="197">
        <v>1</v>
      </c>
      <c r="W97" s="198">
        <v>1.5E-06</v>
      </c>
    </row>
    <row r="98" spans="10:23" ht="12.75">
      <c r="J98" s="176">
        <f t="shared" si="3"/>
        <v>5000</v>
      </c>
      <c r="K98" s="176">
        <v>1</v>
      </c>
      <c r="L98" s="194">
        <v>169.1632428335698</v>
      </c>
      <c r="M98" s="195"/>
      <c r="N98" s="195"/>
      <c r="O98" s="195"/>
      <c r="P98" s="195"/>
      <c r="Q98" s="195"/>
      <c r="R98" s="195"/>
      <c r="S98" s="176" t="s">
        <v>98</v>
      </c>
      <c r="T98" s="196">
        <v>6</v>
      </c>
      <c r="U98" s="197">
        <v>50</v>
      </c>
      <c r="V98" s="197">
        <v>1</v>
      </c>
      <c r="W98" s="198">
        <v>1.5E-06</v>
      </c>
    </row>
  </sheetData>
  <sheetProtection/>
  <printOptions/>
  <pageMargins left="0.75" right="0.75" top="1" bottom="1" header="0.5" footer="0.5"/>
  <pageSetup horizontalDpi="600" verticalDpi="600" orientation="portrait" r:id="rId3"/>
  <drawing r:id="rId2"/>
  <legacyDrawing r:id="rId1"/>
</worksheet>
</file>

<file path=xl/worksheets/sheet13.xml><?xml version="1.0" encoding="utf-8"?>
<worksheet xmlns="http://schemas.openxmlformats.org/spreadsheetml/2006/main" xmlns:r="http://schemas.openxmlformats.org/officeDocument/2006/relationships">
  <sheetPr codeName="Sheet13"/>
  <dimension ref="A3:R133"/>
  <sheetViews>
    <sheetView zoomScalePageLayoutView="0" workbookViewId="0" topLeftCell="A1">
      <selection activeCell="A1" sqref="A1"/>
    </sheetView>
  </sheetViews>
  <sheetFormatPr defaultColWidth="9.140625" defaultRowHeight="12.75"/>
  <cols>
    <col min="2" max="2" width="25.8515625" style="0" customWidth="1"/>
    <col min="3" max="3" width="18.28125" style="0" customWidth="1"/>
    <col min="4" max="5" width="12.421875" style="0" customWidth="1"/>
    <col min="6" max="6" width="12.00390625" style="0" customWidth="1"/>
    <col min="7" max="7" width="10.7109375" style="0" bestFit="1" customWidth="1"/>
    <col min="8" max="8" width="18.28125" style="0" customWidth="1"/>
    <col min="9" max="13" width="12.57421875" style="0" customWidth="1"/>
    <col min="14" max="14" width="11.57421875" style="0" customWidth="1"/>
    <col min="16" max="16" width="12.28125" style="0" customWidth="1"/>
    <col min="17" max="17" width="12.140625" style="0" customWidth="1"/>
    <col min="18" max="18" width="11.28125" style="0" customWidth="1"/>
    <col min="19" max="19" width="11.421875" style="0" bestFit="1" customWidth="1"/>
    <col min="21" max="21" width="12.00390625" style="0" customWidth="1"/>
    <col min="22" max="22" width="11.8515625" style="0" customWidth="1"/>
    <col min="23" max="23" width="12.28125" style="0" bestFit="1" customWidth="1"/>
  </cols>
  <sheetData>
    <row r="3" ht="12.75">
      <c r="F3" s="102"/>
    </row>
    <row r="4" ht="12.75">
      <c r="F4" s="103"/>
    </row>
    <row r="5" ht="12.75">
      <c r="F5" s="103"/>
    </row>
    <row r="6" spans="1:6" ht="12.75" customHeight="1">
      <c r="A6" s="1" t="s">
        <v>7</v>
      </c>
      <c r="B6" t="s">
        <v>96</v>
      </c>
      <c r="D6" s="102" t="s">
        <v>107</v>
      </c>
      <c r="F6" s="145"/>
    </row>
    <row r="7" spans="2:6" ht="12.75" customHeight="1">
      <c r="B7" t="s">
        <v>110</v>
      </c>
      <c r="C7" t="s">
        <v>111</v>
      </c>
      <c r="D7" s="103">
        <v>1356</v>
      </c>
      <c r="F7" s="104"/>
    </row>
    <row r="8" spans="2:6" ht="12.75" customHeight="1">
      <c r="B8" t="s">
        <v>94</v>
      </c>
      <c r="C8" t="s">
        <v>109</v>
      </c>
      <c r="D8" s="103">
        <v>0.1</v>
      </c>
      <c r="F8" s="104"/>
    </row>
    <row r="9" spans="2:6" ht="12.75" customHeight="1">
      <c r="B9" t="s">
        <v>75</v>
      </c>
      <c r="C9" t="s">
        <v>136</v>
      </c>
      <c r="D9" s="145">
        <v>6</v>
      </c>
      <c r="F9" s="105"/>
    </row>
    <row r="10" spans="2:4" ht="12.75" customHeight="1">
      <c r="B10" t="s">
        <v>0</v>
      </c>
      <c r="C10" t="s">
        <v>9</v>
      </c>
      <c r="D10" s="104">
        <v>50</v>
      </c>
    </row>
    <row r="11" spans="2:4" ht="12.75" customHeight="1">
      <c r="B11" t="s">
        <v>39</v>
      </c>
      <c r="C11" t="s">
        <v>10</v>
      </c>
      <c r="D11" s="104">
        <v>1</v>
      </c>
    </row>
    <row r="12" spans="2:5" ht="12.75" customHeight="1">
      <c r="B12" t="s">
        <v>18</v>
      </c>
      <c r="C12" t="s">
        <v>10</v>
      </c>
      <c r="D12" s="105">
        <v>1.5E-06</v>
      </c>
      <c r="E12" t="s">
        <v>140</v>
      </c>
    </row>
    <row r="13" ht="12.75" customHeight="1"/>
    <row r="14" ht="12.75" customHeight="1">
      <c r="A14" s="1" t="s">
        <v>115</v>
      </c>
    </row>
    <row r="15" spans="1:6" ht="12.75" customHeight="1">
      <c r="A15" s="1"/>
      <c r="B15" s="6" t="s">
        <v>29</v>
      </c>
      <c r="C15" s="6" t="s">
        <v>30</v>
      </c>
      <c r="D15" s="7" t="s">
        <v>112</v>
      </c>
      <c r="E15" s="7" t="s">
        <v>113</v>
      </c>
      <c r="F15" s="7" t="s">
        <v>114</v>
      </c>
    </row>
    <row r="16" spans="2:4" ht="12.75">
      <c r="B16" t="s">
        <v>116</v>
      </c>
      <c r="C16" t="s">
        <v>101</v>
      </c>
      <c r="D16">
        <f>PI()*((D10/1000)/2)^2</f>
        <v>0.001963495408493621</v>
      </c>
    </row>
    <row r="17" spans="2:4" ht="12.75">
      <c r="B17" t="s">
        <v>93</v>
      </c>
      <c r="C17" t="s">
        <v>13</v>
      </c>
      <c r="D17" s="106">
        <f>D7*3600*D16</f>
        <v>9584.99918610246</v>
      </c>
    </row>
    <row r="18" spans="2:4" ht="12.75">
      <c r="B18" t="s">
        <v>75</v>
      </c>
      <c r="C18" t="s">
        <v>14</v>
      </c>
      <c r="D18" s="106">
        <f>D9*100</f>
        <v>600</v>
      </c>
    </row>
    <row r="19" spans="2:8" ht="12.75">
      <c r="B19" t="s">
        <v>1</v>
      </c>
      <c r="C19" t="s">
        <v>26</v>
      </c>
      <c r="D19" s="107">
        <f>VLOOKUP($D$6,Props,4)/(VLOOKUP($D$6,Props,3)-LOG(D18*7.500617))-VLOOKUP($D$6,Props,5)</f>
        <v>158.29860056366726</v>
      </c>
      <c r="E19" s="13"/>
      <c r="H19" s="107"/>
    </row>
    <row r="20" spans="2:10" ht="12.75">
      <c r="B20" t="s">
        <v>16</v>
      </c>
      <c r="C20" t="s">
        <v>22</v>
      </c>
      <c r="D20" s="13">
        <f>EXP(VLOOKUP($D$6,Props,6)+VLOOKUP($D$6,Props,7)/(VLOOKUP($D$6,Props,8)+$D$19))</f>
        <v>0.21104608849553838</v>
      </c>
      <c r="E20" s="154">
        <f>EXP(VLOOKUP($D$6,Props,9)+VLOOKUP($D$6,Props,10)/(VLOOKUP($D$6,Props,11)+$D$19))</f>
        <v>0.013077647867022018</v>
      </c>
      <c r="F20" s="154">
        <f>(D8/E20+(1-D8)/D20)^(-1)</f>
        <v>0.08395525731453106</v>
      </c>
      <c r="H20" s="154"/>
      <c r="I20" s="13"/>
      <c r="J20" s="154"/>
    </row>
    <row r="21" spans="2:9" ht="12.75">
      <c r="B21" t="s">
        <v>24</v>
      </c>
      <c r="C21" t="s">
        <v>27</v>
      </c>
      <c r="D21" s="8">
        <f>VLOOKUP($D$6,Props,16)</f>
        <v>18</v>
      </c>
      <c r="I21" s="8"/>
    </row>
    <row r="22" spans="2:10" ht="12.75">
      <c r="B22" t="s">
        <v>5</v>
      </c>
      <c r="C22" t="s">
        <v>11</v>
      </c>
      <c r="D22" s="44">
        <f>(VLOOKUP($D$6,Props,12)*$D$19+VLOOKUP($D$6,Props,13))</f>
        <v>903.7479341090543</v>
      </c>
      <c r="E22" s="140">
        <f>($D$18*1000)*$D$21/(8314.47*($D$19+273.15))</f>
        <v>3.0106489614836316</v>
      </c>
      <c r="F22" s="8">
        <f>(D8/E22+(1-D8)/D22)^(-1)</f>
        <v>29.230122744956738</v>
      </c>
      <c r="H22" s="44"/>
      <c r="I22" s="44"/>
      <c r="J22" s="140"/>
    </row>
    <row r="23" spans="2:4" ht="12.75">
      <c r="B23" t="s">
        <v>4</v>
      </c>
      <c r="D23" s="13"/>
    </row>
    <row r="26" ht="12.75">
      <c r="A26" s="1" t="s">
        <v>15</v>
      </c>
    </row>
    <row r="27" spans="2:6" ht="12.75">
      <c r="B27" t="s">
        <v>33</v>
      </c>
      <c r="C27" t="s">
        <v>34</v>
      </c>
      <c r="D27" s="99">
        <f>NReSI(D17,D20,D10,D22)</f>
        <v>321256.84240094526</v>
      </c>
      <c r="F27" s="141">
        <f>NReSI(D17,F20,D10,F22)</f>
        <v>807573.0116238028</v>
      </c>
    </row>
    <row r="28" spans="4:6" ht="12.75">
      <c r="D28" s="100"/>
      <c r="F28" s="142"/>
    </row>
    <row r="29" spans="2:6" ht="12.75">
      <c r="B29" t="s">
        <v>19</v>
      </c>
      <c r="C29" t="s">
        <v>34</v>
      </c>
      <c r="D29" s="101">
        <f>FrictionSI(D12,D27,D10)</f>
        <v>0.014557515723392905</v>
      </c>
      <c r="F29" s="143">
        <f>FrictionSI(D12,F27,D10)</f>
        <v>0.012651304290128963</v>
      </c>
    </row>
    <row r="30" spans="4:6" ht="12.75">
      <c r="D30" s="100"/>
      <c r="F30" s="142"/>
    </row>
    <row r="31" spans="2:6" ht="12.75">
      <c r="B31" t="s">
        <v>95</v>
      </c>
      <c r="D31" s="144">
        <f>D18-PDsi(D17,D18,,D10,D11,D29,D22)</f>
        <v>0.29618246564245965</v>
      </c>
      <c r="F31" s="141"/>
    </row>
    <row r="32" ht="12.75">
      <c r="D32" s="155"/>
    </row>
    <row r="33" spans="2:4" ht="12.75">
      <c r="B33" t="s">
        <v>131</v>
      </c>
      <c r="C33" t="s">
        <v>132</v>
      </c>
      <c r="D33" s="155">
        <f>(F29/D29*(1+D8*(D22-F22)/F22))^0.5</f>
        <v>1.8625607669417192</v>
      </c>
    </row>
    <row r="34" spans="3:4" ht="12.75">
      <c r="C34" t="s">
        <v>133</v>
      </c>
      <c r="D34" s="155">
        <f>D33^2</f>
        <v>3.4691326105505254</v>
      </c>
    </row>
    <row r="35" ht="12.75">
      <c r="D35" s="155"/>
    </row>
    <row r="36" spans="2:4" ht="12.75">
      <c r="B36" t="s">
        <v>134</v>
      </c>
      <c r="C36" t="s">
        <v>135</v>
      </c>
      <c r="D36" s="155">
        <f>D33*D31</f>
        <v>0.5516578403617091</v>
      </c>
    </row>
    <row r="41" ht="12.75">
      <c r="D41" t="s">
        <v>146</v>
      </c>
    </row>
    <row r="42" spans="9:11" ht="12.75">
      <c r="I42" s="7" t="s">
        <v>169</v>
      </c>
      <c r="J42" s="7" t="s">
        <v>170</v>
      </c>
      <c r="K42" s="7" t="s">
        <v>171</v>
      </c>
    </row>
    <row r="43" spans="6:11" ht="12.75">
      <c r="F43" s="55">
        <f>(1.135*8314*(D19+273.15)/D21)^0.5</f>
        <v>475.58836425544075</v>
      </c>
      <c r="G43" t="s">
        <v>12</v>
      </c>
      <c r="I43" s="157">
        <v>800</v>
      </c>
      <c r="J43" s="157">
        <v>0.091</v>
      </c>
      <c r="K43" s="157">
        <v>4</v>
      </c>
    </row>
    <row r="44" ht="12.75">
      <c r="F44" s="13"/>
    </row>
    <row r="46" spans="4:10" ht="12.75">
      <c r="D46" t="s">
        <v>206</v>
      </c>
      <c r="F46">
        <f>D16</f>
        <v>0.001963495408493621</v>
      </c>
      <c r="G46" t="s">
        <v>101</v>
      </c>
      <c r="H46" s="2" t="s">
        <v>207</v>
      </c>
      <c r="I46" s="50">
        <f>I43/D27+J43*(1+K43/(diameter/25)^0.3)</f>
        <v>0.3891500916072755</v>
      </c>
      <c r="J46" t="s">
        <v>208</v>
      </c>
    </row>
    <row r="47" ht="12.75">
      <c r="D47" t="s">
        <v>145</v>
      </c>
    </row>
    <row r="48" spans="2:5" ht="12.75">
      <c r="B48" s="2" t="s">
        <v>94</v>
      </c>
      <c r="C48" s="157" t="s">
        <v>5</v>
      </c>
      <c r="D48">
        <v>5424</v>
      </c>
      <c r="E48" t="s">
        <v>111</v>
      </c>
    </row>
    <row r="49" spans="2:8" ht="12.75">
      <c r="B49">
        <v>0</v>
      </c>
      <c r="C49" s="155">
        <f aca="true" t="shared" si="0" ref="C49:C82">(B49/$E$22+(1-B49)/$D$22)^(-1)</f>
        <v>903.7479341090544</v>
      </c>
      <c r="D49" s="13">
        <f aca="true" t="shared" si="1" ref="D49:D82">D$48/$C49</f>
        <v>6.001673470321307</v>
      </c>
      <c r="G49" s="13">
        <f aca="true" t="shared" si="2" ref="G49:G82">I$46*D49^2/2*C49/1000</f>
        <v>6.334016429454997</v>
      </c>
      <c r="H49" t="s">
        <v>14</v>
      </c>
    </row>
    <row r="50" spans="2:7" ht="12.75">
      <c r="B50">
        <v>0.01</v>
      </c>
      <c r="C50" s="155">
        <f t="shared" si="0"/>
        <v>226.39897161231818</v>
      </c>
      <c r="D50" s="13">
        <f t="shared" si="1"/>
        <v>23.95770599739281</v>
      </c>
      <c r="E50" t="s">
        <v>147</v>
      </c>
      <c r="G50" s="13">
        <f t="shared" si="2"/>
        <v>25.28436512748411</v>
      </c>
    </row>
    <row r="51" spans="2:7" ht="12.75">
      <c r="B51">
        <v>0.02</v>
      </c>
      <c r="C51" s="155">
        <f t="shared" si="0"/>
        <v>129.40864239142272</v>
      </c>
      <c r="D51" s="13">
        <f t="shared" si="1"/>
        <v>41.913738524464314</v>
      </c>
      <c r="E51" t="s">
        <v>148</v>
      </c>
      <c r="G51" s="13">
        <f t="shared" si="2"/>
        <v>44.234713825513225</v>
      </c>
    </row>
    <row r="52" spans="2:7" ht="12.75">
      <c r="B52">
        <v>0.03</v>
      </c>
      <c r="C52" s="155">
        <f t="shared" si="0"/>
        <v>90.59663841592159</v>
      </c>
      <c r="D52" s="13">
        <f t="shared" si="1"/>
        <v>59.869771051535814</v>
      </c>
      <c r="G52" s="13">
        <f t="shared" si="2"/>
        <v>63.18506252354233</v>
      </c>
    </row>
    <row r="53" spans="2:7" ht="12.75">
      <c r="B53">
        <v>0.04</v>
      </c>
      <c r="C53" s="155">
        <f t="shared" si="0"/>
        <v>69.69410851661213</v>
      </c>
      <c r="D53" s="13">
        <f t="shared" si="1"/>
        <v>77.82580357860733</v>
      </c>
      <c r="G53" s="13">
        <f t="shared" si="2"/>
        <v>82.13541122157146</v>
      </c>
    </row>
    <row r="54" spans="2:7" ht="12.75">
      <c r="B54">
        <v>0.05</v>
      </c>
      <c r="C54" s="155">
        <f t="shared" si="0"/>
        <v>56.62869099748251</v>
      </c>
      <c r="D54" s="13">
        <f t="shared" si="1"/>
        <v>95.78183610567883</v>
      </c>
      <c r="G54" s="13">
        <f t="shared" si="2"/>
        <v>101.08575991960056</v>
      </c>
    </row>
    <row r="55" spans="2:7" ht="12.75">
      <c r="B55">
        <v>0.06</v>
      </c>
      <c r="C55" s="155">
        <f t="shared" si="0"/>
        <v>47.6886024435153</v>
      </c>
      <c r="D55" s="13">
        <f t="shared" si="1"/>
        <v>113.73786863275033</v>
      </c>
      <c r="G55" s="13">
        <f t="shared" si="2"/>
        <v>120.03610861762967</v>
      </c>
    </row>
    <row r="56" spans="2:7" ht="12.75">
      <c r="B56">
        <v>0.07</v>
      </c>
      <c r="C56" s="155">
        <f t="shared" si="0"/>
        <v>41.186417535140905</v>
      </c>
      <c r="D56" s="13">
        <f t="shared" si="1"/>
        <v>131.69390115982185</v>
      </c>
      <c r="G56" s="13">
        <f t="shared" si="2"/>
        <v>138.98645731565878</v>
      </c>
    </row>
    <row r="57" spans="2:7" ht="12.75">
      <c r="B57">
        <v>0.08</v>
      </c>
      <c r="C57" s="155">
        <f t="shared" si="0"/>
        <v>36.24458672563412</v>
      </c>
      <c r="D57" s="13">
        <f t="shared" si="1"/>
        <v>149.64993368689332</v>
      </c>
      <c r="G57" s="13">
        <f t="shared" si="2"/>
        <v>157.93680601368789</v>
      </c>
    </row>
    <row r="58" spans="2:7" ht="12.75">
      <c r="B58">
        <v>0.09</v>
      </c>
      <c r="C58" s="155">
        <f t="shared" si="0"/>
        <v>32.361616489688394</v>
      </c>
      <c r="D58" s="13">
        <f t="shared" si="1"/>
        <v>167.60596621396482</v>
      </c>
      <c r="G58" s="13">
        <f t="shared" si="2"/>
        <v>176.887154711717</v>
      </c>
    </row>
    <row r="59" spans="2:7" ht="12.75">
      <c r="B59">
        <v>0.1</v>
      </c>
      <c r="C59" s="155">
        <f t="shared" si="0"/>
        <v>29.230122744956738</v>
      </c>
      <c r="D59" s="13">
        <f t="shared" si="1"/>
        <v>185.56199874103635</v>
      </c>
      <c r="G59" s="13">
        <f t="shared" si="2"/>
        <v>195.83750340974612</v>
      </c>
    </row>
    <row r="60" spans="2:7" ht="12.75">
      <c r="B60">
        <f aca="true" t="shared" si="3" ref="B60:B82">0.01+B59</f>
        <v>0.11</v>
      </c>
      <c r="C60" s="155">
        <f t="shared" si="0"/>
        <v>26.65120120415573</v>
      </c>
      <c r="D60" s="13">
        <f t="shared" si="1"/>
        <v>203.51803126810788</v>
      </c>
      <c r="G60" s="13">
        <f t="shared" si="2"/>
        <v>214.78785210777525</v>
      </c>
    </row>
    <row r="61" spans="2:7" ht="12.75">
      <c r="B61">
        <f t="shared" si="3"/>
        <v>0.12</v>
      </c>
      <c r="C61" s="155">
        <f t="shared" si="0"/>
        <v>24.49045232229156</v>
      </c>
      <c r="D61" s="13">
        <f t="shared" si="1"/>
        <v>221.47406379517938</v>
      </c>
      <c r="G61" s="13">
        <f t="shared" si="2"/>
        <v>233.73820080580433</v>
      </c>
    </row>
    <row r="62" spans="2:7" ht="12.75">
      <c r="B62">
        <f t="shared" si="3"/>
        <v>0.13</v>
      </c>
      <c r="C62" s="155">
        <f t="shared" si="0"/>
        <v>22.653793668026577</v>
      </c>
      <c r="D62" s="13">
        <f t="shared" si="1"/>
        <v>239.43009632225088</v>
      </c>
      <c r="G62" s="13">
        <f t="shared" si="2"/>
        <v>252.68854950383346</v>
      </c>
    </row>
    <row r="63" spans="2:7" ht="12.75">
      <c r="B63">
        <f t="shared" si="3"/>
        <v>0.14</v>
      </c>
      <c r="C63" s="155">
        <f t="shared" si="0"/>
        <v>21.073396706530712</v>
      </c>
      <c r="D63" s="13">
        <f t="shared" si="1"/>
        <v>257.3861288493224</v>
      </c>
      <c r="G63" s="13">
        <f t="shared" si="2"/>
        <v>271.63889820186256</v>
      </c>
    </row>
    <row r="64" spans="2:7" ht="12.75">
      <c r="B64">
        <f t="shared" si="3"/>
        <v>0.15000000000000002</v>
      </c>
      <c r="C64" s="155">
        <f t="shared" si="0"/>
        <v>19.699126253989736</v>
      </c>
      <c r="D64" s="13">
        <f t="shared" si="1"/>
        <v>275.3421613763939</v>
      </c>
      <c r="G64" s="13">
        <f t="shared" si="2"/>
        <v>290.5892468998917</v>
      </c>
    </row>
    <row r="65" spans="2:7" ht="12.75">
      <c r="B65">
        <f t="shared" si="3"/>
        <v>0.16000000000000003</v>
      </c>
      <c r="C65" s="155">
        <f t="shared" si="0"/>
        <v>18.49312444721438</v>
      </c>
      <c r="D65" s="13">
        <f t="shared" si="1"/>
        <v>293.2981939034654</v>
      </c>
      <c r="G65" s="13">
        <f t="shared" si="2"/>
        <v>309.53959559792077</v>
      </c>
    </row>
    <row r="66" spans="2:7" ht="12.75">
      <c r="B66">
        <f t="shared" si="3"/>
        <v>0.17000000000000004</v>
      </c>
      <c r="C66" s="155">
        <f t="shared" si="0"/>
        <v>17.42626939464381</v>
      </c>
      <c r="D66" s="13">
        <f t="shared" si="1"/>
        <v>311.2542264305369</v>
      </c>
      <c r="G66" s="13">
        <f t="shared" si="2"/>
        <v>328.4899442959499</v>
      </c>
    </row>
    <row r="67" spans="2:7" ht="12.75">
      <c r="B67">
        <f t="shared" si="3"/>
        <v>0.18000000000000005</v>
      </c>
      <c r="C67" s="155">
        <f t="shared" si="0"/>
        <v>16.47579275680602</v>
      </c>
      <c r="D67" s="13">
        <f t="shared" si="1"/>
        <v>329.2102589576085</v>
      </c>
      <c r="G67" s="13">
        <f t="shared" si="2"/>
        <v>347.4402929939792</v>
      </c>
    </row>
    <row r="68" spans="2:7" ht="12.75">
      <c r="B68">
        <f t="shared" si="3"/>
        <v>0.19000000000000006</v>
      </c>
      <c r="C68" s="155">
        <f t="shared" si="0"/>
        <v>15.623636663582456</v>
      </c>
      <c r="D68" s="13">
        <f t="shared" si="1"/>
        <v>347.16629148467996</v>
      </c>
      <c r="G68" s="13">
        <f t="shared" si="2"/>
        <v>366.3906416920081</v>
      </c>
    </row>
    <row r="69" spans="2:7" ht="12.75">
      <c r="B69">
        <f t="shared" si="3"/>
        <v>0.20000000000000007</v>
      </c>
      <c r="C69" s="155">
        <f t="shared" si="0"/>
        <v>14.855295453874872</v>
      </c>
      <c r="D69" s="13">
        <f t="shared" si="1"/>
        <v>365.1223240117515</v>
      </c>
      <c r="G69" s="13">
        <f t="shared" si="2"/>
        <v>385.3409903900374</v>
      </c>
    </row>
    <row r="70" spans="2:7" ht="12.75">
      <c r="B70">
        <f t="shared" si="3"/>
        <v>0.21000000000000008</v>
      </c>
      <c r="C70" s="155">
        <f t="shared" si="0"/>
        <v>14.158983162104866</v>
      </c>
      <c r="D70" s="13">
        <f t="shared" si="1"/>
        <v>383.0783565388231</v>
      </c>
      <c r="G70" s="13">
        <f t="shared" si="2"/>
        <v>404.2913390880666</v>
      </c>
    </row>
    <row r="71" spans="2:7" ht="12.75">
      <c r="B71">
        <f t="shared" si="3"/>
        <v>0.22000000000000008</v>
      </c>
      <c r="C71" s="155">
        <f t="shared" si="0"/>
        <v>13.525024655949828</v>
      </c>
      <c r="D71" s="13">
        <f t="shared" si="1"/>
        <v>401.0343890658946</v>
      </c>
      <c r="G71" s="13">
        <f t="shared" si="2"/>
        <v>423.24168778609567</v>
      </c>
    </row>
    <row r="72" spans="2:7" ht="12.75">
      <c r="B72">
        <f t="shared" si="3"/>
        <v>0.2300000000000001</v>
      </c>
      <c r="C72" s="155">
        <f t="shared" si="0"/>
        <v>12.945403332559279</v>
      </c>
      <c r="D72" s="13">
        <f t="shared" si="1"/>
        <v>418.9904215929661</v>
      </c>
      <c r="G72" s="13">
        <f t="shared" si="2"/>
        <v>442.1920364841248</v>
      </c>
    </row>
    <row r="73" spans="2:7" ht="12.75">
      <c r="B73">
        <f t="shared" si="3"/>
        <v>0.2400000000000001</v>
      </c>
      <c r="C73" s="155">
        <f t="shared" si="0"/>
        <v>12.413420337563657</v>
      </c>
      <c r="D73" s="13">
        <f t="shared" si="1"/>
        <v>436.9464541200376</v>
      </c>
      <c r="G73" s="13">
        <f t="shared" si="2"/>
        <v>461.14238518215376</v>
      </c>
    </row>
    <row r="74" spans="2:7" ht="12.75">
      <c r="B74">
        <f t="shared" si="3"/>
        <v>0.2500000000000001</v>
      </c>
      <c r="C74" s="155">
        <f t="shared" si="0"/>
        <v>11.923434492473266</v>
      </c>
      <c r="D74" s="13">
        <f t="shared" si="1"/>
        <v>454.90248664710913</v>
      </c>
      <c r="G74" s="13">
        <f t="shared" si="2"/>
        <v>480.092733880183</v>
      </c>
    </row>
    <row r="75" spans="2:7" ht="12.75">
      <c r="B75">
        <f t="shared" si="3"/>
        <v>0.2600000000000001</v>
      </c>
      <c r="C75" s="155">
        <f t="shared" si="0"/>
        <v>11.470661477079222</v>
      </c>
      <c r="D75" s="13">
        <f t="shared" si="1"/>
        <v>472.85851917418057</v>
      </c>
      <c r="G75" s="13">
        <f t="shared" si="2"/>
        <v>499.043082578212</v>
      </c>
    </row>
    <row r="76" spans="2:7" ht="12.75">
      <c r="B76">
        <f t="shared" si="3"/>
        <v>0.27000000000000013</v>
      </c>
      <c r="C76" s="155">
        <f t="shared" si="0"/>
        <v>11.051017092299798</v>
      </c>
      <c r="D76" s="13">
        <f t="shared" si="1"/>
        <v>490.8145517012521</v>
      </c>
      <c r="G76" s="13">
        <f t="shared" si="2"/>
        <v>517.9934312762412</v>
      </c>
    </row>
    <row r="77" spans="2:7" ht="12.75">
      <c r="B77">
        <f t="shared" si="3"/>
        <v>0.28000000000000014</v>
      </c>
      <c r="C77" s="155">
        <f t="shared" si="0"/>
        <v>10.660993713358717</v>
      </c>
      <c r="D77" s="13">
        <f t="shared" si="1"/>
        <v>508.7705842283236</v>
      </c>
      <c r="G77" s="13">
        <f t="shared" si="2"/>
        <v>536.9437799742702</v>
      </c>
    </row>
    <row r="78" spans="2:7" ht="12.75">
      <c r="B78">
        <f t="shared" si="3"/>
        <v>0.29000000000000015</v>
      </c>
      <c r="C78" s="155">
        <f t="shared" si="0"/>
        <v>10.297562013120809</v>
      </c>
      <c r="D78" s="13">
        <f t="shared" si="1"/>
        <v>526.7266167553952</v>
      </c>
      <c r="G78" s="13">
        <f t="shared" si="2"/>
        <v>555.8941286722994</v>
      </c>
    </row>
    <row r="79" spans="2:7" ht="12.75">
      <c r="B79">
        <f t="shared" si="3"/>
        <v>0.30000000000000016</v>
      </c>
      <c r="C79" s="155">
        <f t="shared" si="0"/>
        <v>9.958092124185086</v>
      </c>
      <c r="D79" s="13">
        <f t="shared" si="1"/>
        <v>544.6826492824669</v>
      </c>
      <c r="G79" s="13">
        <f t="shared" si="2"/>
        <v>574.8444773703288</v>
      </c>
    </row>
    <row r="80" spans="2:7" ht="12.75">
      <c r="B80">
        <f t="shared" si="3"/>
        <v>0.31000000000000016</v>
      </c>
      <c r="C80" s="155">
        <f t="shared" si="0"/>
        <v>9.640289897160157</v>
      </c>
      <c r="D80" s="13">
        <f t="shared" si="1"/>
        <v>562.6386818095383</v>
      </c>
      <c r="G80" s="13">
        <f t="shared" si="2"/>
        <v>593.7948260683578</v>
      </c>
    </row>
    <row r="81" spans="2:7" ht="12.75">
      <c r="B81">
        <f t="shared" si="3"/>
        <v>0.3200000000000002</v>
      </c>
      <c r="C81" s="155">
        <f t="shared" si="0"/>
        <v>9.342144986968211</v>
      </c>
      <c r="D81" s="13">
        <f t="shared" si="1"/>
        <v>580.5947143366099</v>
      </c>
      <c r="G81" s="13">
        <f t="shared" si="2"/>
        <v>612.745174766387</v>
      </c>
    </row>
    <row r="82" spans="2:7" ht="12.75">
      <c r="B82">
        <f t="shared" si="3"/>
        <v>0.3300000000000002</v>
      </c>
      <c r="C82" s="155">
        <f t="shared" si="0"/>
        <v>9.06188828335938</v>
      </c>
      <c r="D82" s="13">
        <f t="shared" si="1"/>
        <v>598.5507468636813</v>
      </c>
      <c r="G82" s="13">
        <f t="shared" si="2"/>
        <v>631.6955234644159</v>
      </c>
    </row>
    <row r="125" spans="2:4" ht="12.75">
      <c r="B125" s="57" t="s">
        <v>102</v>
      </c>
      <c r="D125" t="s">
        <v>103</v>
      </c>
    </row>
    <row r="126" spans="4:18" ht="12.75">
      <c r="D126" s="58" t="s">
        <v>104</v>
      </c>
      <c r="E126" s="59"/>
      <c r="F126" s="60"/>
      <c r="G126" s="61" t="s">
        <v>118</v>
      </c>
      <c r="H126" s="62"/>
      <c r="I126" s="63"/>
      <c r="J126" s="58" t="s">
        <v>117</v>
      </c>
      <c r="K126" s="92"/>
      <c r="L126" s="92"/>
      <c r="M126" s="61" t="s">
        <v>105</v>
      </c>
      <c r="N126" s="64"/>
      <c r="O126" s="58" t="s">
        <v>106</v>
      </c>
      <c r="P126" s="60"/>
      <c r="Q126" s="93" t="s">
        <v>119</v>
      </c>
      <c r="R126" s="96" t="s">
        <v>4</v>
      </c>
    </row>
    <row r="127" spans="4:18" ht="12.75">
      <c r="D127" s="65" t="s">
        <v>99</v>
      </c>
      <c r="E127" s="17" t="s">
        <v>100</v>
      </c>
      <c r="F127" s="66" t="s">
        <v>26</v>
      </c>
      <c r="G127" s="67" t="s">
        <v>99</v>
      </c>
      <c r="H127" s="22" t="s">
        <v>100</v>
      </c>
      <c r="I127" s="68" t="s">
        <v>26</v>
      </c>
      <c r="J127" s="17"/>
      <c r="K127" s="17"/>
      <c r="L127" s="17"/>
      <c r="M127" s="67" t="s">
        <v>10</v>
      </c>
      <c r="N127" s="68" t="s">
        <v>92</v>
      </c>
      <c r="O127" s="65" t="s">
        <v>10</v>
      </c>
      <c r="P127" s="66" t="s">
        <v>92</v>
      </c>
      <c r="Q127" s="94" t="s">
        <v>120</v>
      </c>
      <c r="R127" s="97"/>
    </row>
    <row r="128" spans="2:18" ht="12.75">
      <c r="B128" t="s">
        <v>98</v>
      </c>
      <c r="D128" s="69">
        <v>6.98679249947656</v>
      </c>
      <c r="E128" s="70">
        <v>918.1682577797676</v>
      </c>
      <c r="F128" s="71">
        <v>253.38403731432368</v>
      </c>
      <c r="G128" s="72">
        <v>-8.766071949621287</v>
      </c>
      <c r="H128" s="73">
        <v>5134.255857735576</v>
      </c>
      <c r="I128" s="74">
        <v>693.0129669361127</v>
      </c>
      <c r="J128" s="70">
        <v>-9.000660812105487</v>
      </c>
      <c r="K128" s="70">
        <v>-4611.860946596257</v>
      </c>
      <c r="L128" s="70">
        <v>-1008.8663369827995</v>
      </c>
      <c r="M128" s="77">
        <v>-3.0886153833600023</v>
      </c>
      <c r="N128" s="78">
        <v>1393.4014108709334</v>
      </c>
      <c r="O128" s="75">
        <v>-0.19281600000000004</v>
      </c>
      <c r="P128" s="76">
        <v>86.98722666666667</v>
      </c>
      <c r="Q128" s="95">
        <v>120.91</v>
      </c>
      <c r="R128" s="146">
        <v>1.17</v>
      </c>
    </row>
    <row r="129" spans="2:18" ht="12.75">
      <c r="B129" t="s">
        <v>108</v>
      </c>
      <c r="D129" s="69">
        <v>7.040037177803664</v>
      </c>
      <c r="E129" s="70">
        <v>850.0969273139809</v>
      </c>
      <c r="F129" s="71">
        <v>245.17676263314735</v>
      </c>
      <c r="G129" s="72">
        <v>20.786462252493244</v>
      </c>
      <c r="H129" s="73">
        <v>46143.49067012315</v>
      </c>
      <c r="I129" s="74">
        <v>-2064.891759209195</v>
      </c>
      <c r="J129" s="70">
        <v>-3.4660000465265957</v>
      </c>
      <c r="K129" s="70">
        <v>-278.7438937251103</v>
      </c>
      <c r="L129" s="70">
        <v>286.65573875289084</v>
      </c>
      <c r="M129" s="72">
        <v>-3.196600804794535</v>
      </c>
      <c r="N129" s="74">
        <v>1279.325435041413</v>
      </c>
      <c r="O129" s="69">
        <v>-0.19955731105203195</v>
      </c>
      <c r="P129" s="71">
        <v>79.86569464489176</v>
      </c>
      <c r="Q129" s="95">
        <v>86.48</v>
      </c>
      <c r="R129" s="146">
        <v>1.25</v>
      </c>
    </row>
    <row r="130" spans="2:18" ht="12.75">
      <c r="B130" t="s">
        <v>107</v>
      </c>
      <c r="D130" s="69">
        <v>8.30503962690467</v>
      </c>
      <c r="E130" s="70">
        <v>1986.496291322776</v>
      </c>
      <c r="F130" s="71">
        <v>268.74038855098655</v>
      </c>
      <c r="G130" s="72">
        <v>4.344761245207633</v>
      </c>
      <c r="H130" s="79">
        <v>6927.315754126981</v>
      </c>
      <c r="I130" s="74">
        <v>-1332.3323626123708</v>
      </c>
      <c r="J130" s="70">
        <v>-4.919198027218318</v>
      </c>
      <c r="K130" s="70">
        <v>-200.48733627160277</v>
      </c>
      <c r="L130" s="70">
        <v>-502.5731477255687</v>
      </c>
      <c r="M130" s="72">
        <v>-1.5583011065674495</v>
      </c>
      <c r="N130" s="74">
        <v>1150.4248185354957</v>
      </c>
      <c r="O130" s="69">
        <v>-0.05608130534853337</v>
      </c>
      <c r="P130" s="71">
        <v>64.2378453786336</v>
      </c>
      <c r="Q130" s="95">
        <v>18</v>
      </c>
      <c r="R130" s="146"/>
    </row>
    <row r="131" spans="4:18" ht="12.75">
      <c r="D131" s="80"/>
      <c r="E131" s="81"/>
      <c r="F131" s="82"/>
      <c r="G131" s="83"/>
      <c r="H131" s="84"/>
      <c r="I131" s="85"/>
      <c r="J131" s="81"/>
      <c r="K131" s="81"/>
      <c r="L131" s="81"/>
      <c r="M131" s="83"/>
      <c r="N131" s="85"/>
      <c r="O131" s="80"/>
      <c r="P131" s="82"/>
      <c r="Q131" s="148"/>
      <c r="R131" s="146"/>
    </row>
    <row r="132" spans="4:18" ht="12.75">
      <c r="D132" s="86"/>
      <c r="E132" s="87"/>
      <c r="F132" s="88"/>
      <c r="G132" s="89"/>
      <c r="H132" s="90"/>
      <c r="I132" s="91"/>
      <c r="J132" s="87"/>
      <c r="K132" s="87"/>
      <c r="L132" s="87"/>
      <c r="M132" s="89"/>
      <c r="N132" s="91"/>
      <c r="O132" s="86"/>
      <c r="P132" s="88"/>
      <c r="Q132" s="149"/>
      <c r="R132" s="147"/>
    </row>
    <row r="133" ht="12.75">
      <c r="R133" s="56"/>
    </row>
  </sheetData>
  <sheetProtection/>
  <printOptions/>
  <pageMargins left="0.75" right="0.75" top="1" bottom="1" header="0.5" footer="0.5"/>
  <pageSetup horizontalDpi="600" verticalDpi="600" orientation="portrait" r:id="rId4"/>
  <drawing r:id="rId3"/>
  <legacyDrawing r:id="rId2"/>
  <oleObjects>
    <oleObject progId="Equation.3" shapeId="794912" r:id="rId1"/>
  </oleObjects>
</worksheet>
</file>

<file path=xl/worksheets/sheet14.xml><?xml version="1.0" encoding="utf-8"?>
<worksheet xmlns="http://schemas.openxmlformats.org/spreadsheetml/2006/main" xmlns:r="http://schemas.openxmlformats.org/officeDocument/2006/relationships">
  <sheetPr codeName="Sheet15"/>
  <dimension ref="A6:G42"/>
  <sheetViews>
    <sheetView zoomScalePageLayoutView="0" workbookViewId="0" topLeftCell="A1">
      <selection activeCell="A1" sqref="A1"/>
    </sheetView>
  </sheetViews>
  <sheetFormatPr defaultColWidth="9.140625" defaultRowHeight="12.75"/>
  <cols>
    <col min="2" max="2" width="24.28125" style="0" customWidth="1"/>
    <col min="3" max="3" width="12.00390625" style="0" customWidth="1"/>
    <col min="4" max="4" width="10.7109375" style="0" customWidth="1"/>
    <col min="6" max="6" width="12.28125" style="0" customWidth="1"/>
    <col min="7" max="7" width="11.28125" style="0" bestFit="1" customWidth="1"/>
  </cols>
  <sheetData>
    <row r="6" spans="1:7" ht="12.75">
      <c r="A6" s="1" t="s">
        <v>7</v>
      </c>
      <c r="C6" s="3" t="s">
        <v>21</v>
      </c>
      <c r="D6" s="3" t="s">
        <v>245</v>
      </c>
      <c r="F6" s="3" t="s">
        <v>20</v>
      </c>
      <c r="G6" s="3" t="s">
        <v>245</v>
      </c>
    </row>
    <row r="7" spans="2:7" ht="12.75">
      <c r="B7" s="3" t="s">
        <v>244</v>
      </c>
      <c r="D7" s="234">
        <v>17.4</v>
      </c>
      <c r="G7" s="236">
        <v>17.4</v>
      </c>
    </row>
    <row r="8" spans="2:7" ht="12.75">
      <c r="B8" s="3" t="s">
        <v>1</v>
      </c>
      <c r="C8" s="3" t="s">
        <v>26</v>
      </c>
      <c r="D8" s="234">
        <v>37.8</v>
      </c>
      <c r="F8" s="3" t="s">
        <v>49</v>
      </c>
      <c r="G8" s="237">
        <v>100</v>
      </c>
    </row>
    <row r="9" spans="2:7" ht="12.75">
      <c r="B9" s="3" t="s">
        <v>235</v>
      </c>
      <c r="C9" s="3" t="s">
        <v>9</v>
      </c>
      <c r="D9" s="235">
        <v>102</v>
      </c>
      <c r="F9" s="3" t="s">
        <v>48</v>
      </c>
      <c r="G9" s="238">
        <v>4.026</v>
      </c>
    </row>
    <row r="10" spans="2:7" ht="12.75">
      <c r="B10" s="3" t="s">
        <v>236</v>
      </c>
      <c r="C10" s="3" t="s">
        <v>248</v>
      </c>
      <c r="D10" s="234">
        <v>32.2</v>
      </c>
      <c r="F10" s="3" t="s">
        <v>246</v>
      </c>
      <c r="G10" s="237">
        <v>20</v>
      </c>
    </row>
    <row r="11" spans="2:7" ht="12.75">
      <c r="B11" s="3" t="s">
        <v>237</v>
      </c>
      <c r="C11" s="3" t="s">
        <v>249</v>
      </c>
      <c r="D11" s="235">
        <v>13700</v>
      </c>
      <c r="F11" s="3" t="s">
        <v>2</v>
      </c>
      <c r="G11" s="237">
        <v>2000</v>
      </c>
    </row>
    <row r="12" spans="2:7" ht="12.75">
      <c r="B12" s="3" t="s">
        <v>238</v>
      </c>
      <c r="C12" s="3" t="s">
        <v>249</v>
      </c>
      <c r="D12" s="235">
        <v>10300</v>
      </c>
      <c r="F12" s="3" t="s">
        <v>2</v>
      </c>
      <c r="G12" s="237">
        <v>1500</v>
      </c>
    </row>
    <row r="13" spans="2:7" ht="12.75">
      <c r="B13" s="3" t="s">
        <v>239</v>
      </c>
      <c r="C13" s="3" t="s">
        <v>10</v>
      </c>
      <c r="D13" s="234">
        <v>30.5</v>
      </c>
      <c r="F13" s="3" t="s">
        <v>52</v>
      </c>
      <c r="G13" s="237">
        <v>100</v>
      </c>
    </row>
    <row r="14" spans="2:7" ht="12.75">
      <c r="B14" s="3" t="s">
        <v>240</v>
      </c>
      <c r="D14" s="235">
        <v>1</v>
      </c>
      <c r="G14" s="237">
        <v>1</v>
      </c>
    </row>
    <row r="15" spans="2:7" ht="12.75">
      <c r="B15" s="3" t="s">
        <v>247</v>
      </c>
      <c r="D15" s="235">
        <v>1</v>
      </c>
      <c r="G15" s="237">
        <v>1</v>
      </c>
    </row>
    <row r="17" ht="12.75">
      <c r="A17" s="1" t="s">
        <v>241</v>
      </c>
    </row>
    <row r="18" spans="2:7" ht="12.75">
      <c r="B18" s="3" t="s">
        <v>242</v>
      </c>
      <c r="C18" s="3" t="s">
        <v>26</v>
      </c>
      <c r="D18" s="235">
        <v>0</v>
      </c>
      <c r="F18" s="3" t="s">
        <v>49</v>
      </c>
      <c r="G18" s="237">
        <v>60</v>
      </c>
    </row>
    <row r="19" spans="2:7" ht="12.75">
      <c r="B19" s="3" t="s">
        <v>243</v>
      </c>
      <c r="C19" s="3" t="s">
        <v>249</v>
      </c>
      <c r="D19" s="235">
        <v>100</v>
      </c>
      <c r="F19" s="3" t="s">
        <v>2</v>
      </c>
      <c r="G19" s="236">
        <v>14.7</v>
      </c>
    </row>
    <row r="20" spans="2:7" ht="12.75">
      <c r="B20" s="3" t="s">
        <v>253</v>
      </c>
      <c r="C20" s="3" t="s">
        <v>10</v>
      </c>
      <c r="D20" s="226">
        <v>4.57E-05</v>
      </c>
      <c r="F20" s="3" t="s">
        <v>52</v>
      </c>
      <c r="G20" s="239">
        <v>0.00015</v>
      </c>
    </row>
    <row r="22" ht="12.75">
      <c r="A22" s="1" t="s">
        <v>250</v>
      </c>
    </row>
    <row r="23" ht="12.75">
      <c r="B23" s="57" t="s">
        <v>251</v>
      </c>
    </row>
    <row r="24" spans="2:7" ht="12.75">
      <c r="B24" s="3" t="s">
        <v>33</v>
      </c>
      <c r="D24" s="228">
        <v>200000</v>
      </c>
      <c r="G24" s="230">
        <v>200000</v>
      </c>
    </row>
    <row r="25" spans="2:7" ht="12.75">
      <c r="B25" s="3" t="s">
        <v>252</v>
      </c>
      <c r="D25" s="231">
        <f>FrictionSI(D20,D24,D9)</f>
        <v>0.01865570408517665</v>
      </c>
      <c r="G25" s="232">
        <f>FrictionUS(G20,G24,G9)</f>
        <v>0.01865053361312725</v>
      </c>
    </row>
    <row r="26" spans="2:7" ht="12.75">
      <c r="B26" s="3" t="s">
        <v>3</v>
      </c>
      <c r="C26" s="3" t="s">
        <v>13</v>
      </c>
      <c r="D26" s="228">
        <f>PDsi(,D11,D12,D9,D10*1000,D25,,D8,D7,1.3,1)</f>
        <v>8982.45705600615</v>
      </c>
      <c r="F26" s="3" t="s">
        <v>8</v>
      </c>
      <c r="G26" s="230">
        <f>PDUS(,G11,G12,G9,G10*5280,G25,,G8,G7,1.3,1)</f>
        <v>20126.34760469549</v>
      </c>
    </row>
    <row r="27" spans="2:7" ht="12.75">
      <c r="B27" s="3" t="s">
        <v>254</v>
      </c>
      <c r="C27" s="3" t="s">
        <v>257</v>
      </c>
      <c r="D27" s="228">
        <f>D26*22.4/D7*24/1000</f>
        <v>277.5269490407417</v>
      </c>
      <c r="F27" s="3" t="s">
        <v>256</v>
      </c>
      <c r="G27" s="230">
        <f>G26*379/G7*24/1000</f>
        <v>10521.22171335116</v>
      </c>
    </row>
    <row r="29" ht="12.75">
      <c r="B29" s="57" t="s">
        <v>258</v>
      </c>
    </row>
    <row r="30" spans="2:7" ht="12.75">
      <c r="B30" s="3" t="s">
        <v>234</v>
      </c>
      <c r="D30" s="233">
        <f>D7/29</f>
        <v>0.6</v>
      </c>
      <c r="G30" s="229">
        <f>G7/29</f>
        <v>0.6</v>
      </c>
    </row>
    <row r="31" spans="2:7" ht="12.75">
      <c r="B31" s="3" t="s">
        <v>261</v>
      </c>
      <c r="C31" s="3" t="s">
        <v>207</v>
      </c>
      <c r="D31" s="228">
        <f>D8+273.15</f>
        <v>310.95</v>
      </c>
      <c r="F31" s="3" t="s">
        <v>262</v>
      </c>
      <c r="G31" s="230">
        <f>G8+460</f>
        <v>560</v>
      </c>
    </row>
    <row r="32" spans="2:7" ht="12.75">
      <c r="B32" s="3" t="s">
        <v>259</v>
      </c>
      <c r="C32" s="3" t="s">
        <v>249</v>
      </c>
      <c r="D32" s="228">
        <f>(2/3)*(D11+D12-(D11*D12/(D11+D12)))</f>
        <v>12080.277777777777</v>
      </c>
      <c r="F32" s="3" t="s">
        <v>2</v>
      </c>
      <c r="G32" s="230">
        <f>(2/3)*(G11+G12-(G11*G12/(G11+G12)))</f>
        <v>1761.904761904762</v>
      </c>
    </row>
    <row r="33" spans="2:7" ht="12.75">
      <c r="B33" s="3" t="s">
        <v>260</v>
      </c>
      <c r="C33" s="3" t="s">
        <v>14</v>
      </c>
      <c r="D33" s="228">
        <f>0.06835*D30*D13*D32/(D15*D31)</f>
        <v>48.59325243876293</v>
      </c>
      <c r="F33" s="3" t="s">
        <v>263</v>
      </c>
      <c r="G33" s="230">
        <f>0.0375*G30*G13*G32/(G15*G31)</f>
        <v>7.079081632653061</v>
      </c>
    </row>
    <row r="35" ht="12.75">
      <c r="B35" s="57" t="s">
        <v>255</v>
      </c>
    </row>
    <row r="36" spans="2:7" ht="12.75">
      <c r="B36" s="3" t="s">
        <v>254</v>
      </c>
      <c r="C36" s="3" t="s">
        <v>257</v>
      </c>
      <c r="D36" s="225"/>
      <c r="F36" s="3" t="s">
        <v>256</v>
      </c>
      <c r="G36" s="230">
        <f>433.49*(G18+460)/G19*G9^(8/3)*G14*((G11^2-G12^2-G33)/(G10*G30*G31*G15))^0.5/1000</f>
        <v>10150.684353817122</v>
      </c>
    </row>
    <row r="38" ht="12.75">
      <c r="B38" s="57" t="s">
        <v>264</v>
      </c>
    </row>
    <row r="39" spans="2:7" ht="12.75">
      <c r="B39" s="3" t="s">
        <v>254</v>
      </c>
      <c r="C39" s="3" t="s">
        <v>257</v>
      </c>
      <c r="D39" s="228">
        <f>0.0045965*((D18+273.15)/D19)^1.0788*D9^2.6182*D14*((D11^2-D12^2-D33)/(D10*D30^0.8538*D31*D15))^0.5394/1000</f>
        <v>401.76749869902153</v>
      </c>
      <c r="F39" s="3" t="s">
        <v>256</v>
      </c>
      <c r="G39" s="230">
        <f>435.87*((G18+460)/G19)^1.0788*G9^2.6182*G14*((G11^2-G12^2-G33)/(G10*G30^0.8538*G31*G15))^0.5394/1000</f>
        <v>15110.390442826503</v>
      </c>
    </row>
    <row r="41" ht="12.75">
      <c r="B41" s="57" t="s">
        <v>265</v>
      </c>
    </row>
    <row r="42" spans="2:7" ht="12.75">
      <c r="B42" s="3" t="s">
        <v>254</v>
      </c>
      <c r="C42" s="3" t="s">
        <v>257</v>
      </c>
      <c r="D42" s="228">
        <f>0.010019*((D18+273.15)/D19)^1.02*D9^2.53*D14*((D11^2-D12^2-D33)/(D10*D30^0.961*D31*D15))^0.51/1000</f>
        <v>427.68645786003833</v>
      </c>
      <c r="F42" s="3" t="s">
        <v>256</v>
      </c>
      <c r="G42" s="230">
        <f>737*((G18+460)/G19)^1.02*G9^2.53*G14*((G11^2-G12^2-G33)/(G10*G30^0.961*G31*G15))^0.51/1000</f>
        <v>16033.763167046203</v>
      </c>
    </row>
  </sheetData>
  <sheetProtection/>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Sheet1"/>
  <dimension ref="A4:I44"/>
  <sheetViews>
    <sheetView zoomScalePageLayoutView="0" workbookViewId="0" topLeftCell="A1">
      <selection activeCell="A1" sqref="A1"/>
    </sheetView>
  </sheetViews>
  <sheetFormatPr defaultColWidth="9.140625" defaultRowHeight="12.75"/>
  <cols>
    <col min="5" max="5" width="10.57421875" style="0" customWidth="1"/>
  </cols>
  <sheetData>
    <row r="4" spans="1:6" ht="12.75">
      <c r="A4" s="98"/>
      <c r="B4" s="98"/>
      <c r="C4" s="98"/>
      <c r="D4" s="98"/>
      <c r="E4" s="98"/>
      <c r="F4" s="98"/>
    </row>
    <row r="5" spans="1:6" ht="12.75">
      <c r="A5" s="112" t="s">
        <v>123</v>
      </c>
      <c r="B5" s="113"/>
      <c r="C5" s="113"/>
      <c r="D5" s="113"/>
      <c r="E5" s="114"/>
      <c r="F5" s="98"/>
    </row>
    <row r="6" spans="1:6" ht="12.75">
      <c r="A6" s="115"/>
      <c r="B6" s="116"/>
      <c r="C6" s="116"/>
      <c r="D6" s="116"/>
      <c r="E6" s="117"/>
      <c r="F6" s="98"/>
    </row>
    <row r="7" spans="1:8" ht="12.75">
      <c r="A7" s="115"/>
      <c r="B7" s="109" t="s">
        <v>121</v>
      </c>
      <c r="C7" s="109" t="s">
        <v>122</v>
      </c>
      <c r="D7" s="116"/>
      <c r="E7" s="117"/>
      <c r="F7" s="98"/>
      <c r="G7" t="s">
        <v>49</v>
      </c>
      <c r="H7" t="s">
        <v>141</v>
      </c>
    </row>
    <row r="8" spans="1:9" ht="12.75">
      <c r="A8" s="115"/>
      <c r="B8" s="118">
        <f>(G8-32)/1.8</f>
        <v>-17.77777777777778</v>
      </c>
      <c r="C8" s="118">
        <f>0.4134*H8</f>
        <v>0.01107912</v>
      </c>
      <c r="D8" s="116"/>
      <c r="E8" s="117"/>
      <c r="F8" s="98"/>
      <c r="G8">
        <v>0</v>
      </c>
      <c r="H8">
        <v>0.0268</v>
      </c>
      <c r="I8">
        <v>0.0268</v>
      </c>
    </row>
    <row r="9" spans="1:9" ht="12.75">
      <c r="A9" s="115"/>
      <c r="B9" s="118">
        <f>(G9-32)/1.8</f>
        <v>-3.888888888888889</v>
      </c>
      <c r="C9" s="118">
        <f>0.4134*H9</f>
        <v>0.011657879999999999</v>
      </c>
      <c r="D9" s="119">
        <f>(LN(C9/C10)*(B8-B9))/(LN(C8/C9)*(B9-B10))</f>
        <v>0.8815986721619257</v>
      </c>
      <c r="E9" s="120"/>
      <c r="F9" s="110"/>
      <c r="G9">
        <v>25</v>
      </c>
      <c r="H9">
        <v>0.0282</v>
      </c>
      <c r="I9">
        <v>0.0282</v>
      </c>
    </row>
    <row r="10" spans="1:9" ht="12.75">
      <c r="A10" s="121"/>
      <c r="B10" s="118">
        <f>(G10-32)/1.8</f>
        <v>18.333333333333332</v>
      </c>
      <c r="C10" s="118">
        <f>0.4134*H10</f>
        <v>0.01252602</v>
      </c>
      <c r="D10" s="122"/>
      <c r="E10" s="120"/>
      <c r="F10" s="110"/>
      <c r="G10">
        <v>65</v>
      </c>
      <c r="H10">
        <v>0.0303</v>
      </c>
      <c r="I10">
        <v>0.0303</v>
      </c>
    </row>
    <row r="11" spans="1:6" ht="12.75">
      <c r="A11" s="121"/>
      <c r="B11" s="122"/>
      <c r="C11" s="122"/>
      <c r="D11" s="122"/>
      <c r="E11" s="120"/>
      <c r="F11" s="110"/>
    </row>
    <row r="12" spans="1:6" ht="12.75">
      <c r="A12" s="121" t="s">
        <v>124</v>
      </c>
      <c r="B12" s="122"/>
      <c r="C12" s="122"/>
      <c r="D12" s="122"/>
      <c r="E12" s="120"/>
      <c r="F12" s="110"/>
    </row>
    <row r="13" spans="1:6" ht="12.75">
      <c r="A13" s="121"/>
      <c r="B13" s="111" t="s">
        <v>99</v>
      </c>
      <c r="C13" s="111" t="s">
        <v>100</v>
      </c>
      <c r="D13" s="111" t="s">
        <v>26</v>
      </c>
      <c r="E13" s="120"/>
      <c r="F13" s="110"/>
    </row>
    <row r="14" spans="1:6" ht="12.75">
      <c r="A14" s="121"/>
      <c r="B14" s="123">
        <f>LN(C9)-C14/(B9+D14)</f>
        <v>-3.4660000465265957</v>
      </c>
      <c r="C14" s="123">
        <f>-LN(C9/C10)/(1/(B10+D14)-1/(B9+D14))</f>
        <v>-278.7438937251103</v>
      </c>
      <c r="D14" s="123">
        <f>(B8-(B10*D9))/(D9-1)</f>
        <v>286.65573875289084</v>
      </c>
      <c r="E14" s="120"/>
      <c r="F14" s="110"/>
    </row>
    <row r="15" spans="1:6" ht="12.75">
      <c r="A15" s="124"/>
      <c r="B15" s="125"/>
      <c r="C15" s="125"/>
      <c r="D15" s="125"/>
      <c r="E15" s="126"/>
      <c r="F15" s="110"/>
    </row>
    <row r="16" spans="1:6" ht="12.75">
      <c r="A16" s="110"/>
      <c r="B16" s="110"/>
      <c r="C16" s="110"/>
      <c r="D16" s="110"/>
      <c r="E16" s="110"/>
      <c r="F16" s="110"/>
    </row>
    <row r="17" spans="1:6" ht="12.75">
      <c r="A17" s="110"/>
      <c r="B17" s="110"/>
      <c r="C17" s="110"/>
      <c r="D17" s="110"/>
      <c r="E17" s="110"/>
      <c r="F17" s="110"/>
    </row>
    <row r="18" spans="1:6" ht="12.75">
      <c r="A18" s="127" t="s">
        <v>126</v>
      </c>
      <c r="B18" s="128"/>
      <c r="C18" s="128"/>
      <c r="D18" s="128"/>
      <c r="E18" s="129"/>
      <c r="F18" s="110"/>
    </row>
    <row r="19" spans="1:5" ht="12.75">
      <c r="A19" s="130"/>
      <c r="B19" s="108"/>
      <c r="C19" s="108"/>
      <c r="D19" s="108"/>
      <c r="E19" s="131"/>
    </row>
    <row r="20" spans="1:8" ht="12.75">
      <c r="A20" s="130"/>
      <c r="B20" s="6" t="s">
        <v>121</v>
      </c>
      <c r="C20" s="6" t="s">
        <v>127</v>
      </c>
      <c r="D20" s="108"/>
      <c r="E20" s="131"/>
      <c r="G20" t="s">
        <v>49</v>
      </c>
      <c r="H20" t="s">
        <v>2</v>
      </c>
    </row>
    <row r="21" spans="1:8" ht="12.75">
      <c r="A21" s="130"/>
      <c r="B21" s="118">
        <f>(G21-32)/1.8</f>
        <v>-51.11111111111111</v>
      </c>
      <c r="C21" s="118">
        <f>51.71493*H21</f>
        <v>456.64283190000003</v>
      </c>
      <c r="D21" s="108"/>
      <c r="E21" s="131"/>
      <c r="G21">
        <v>-60</v>
      </c>
      <c r="H21">
        <v>8.83</v>
      </c>
    </row>
    <row r="22" spans="1:8" ht="12.75">
      <c r="A22" s="130"/>
      <c r="B22" s="118">
        <f>(G22-32)/1.8</f>
        <v>-20.555555555555554</v>
      </c>
      <c r="C22" s="118">
        <f>51.71493*H22</f>
        <v>1800.76557753</v>
      </c>
      <c r="D22" s="139">
        <f>(LOG(C22/C23)*(B21-B22))/(LOG(C21/C22)*(B22-B23))</f>
        <v>0.7364638186262207</v>
      </c>
      <c r="E22" s="131"/>
      <c r="G22">
        <v>-5</v>
      </c>
      <c r="H22">
        <v>34.821</v>
      </c>
    </row>
    <row r="23" spans="1:8" ht="12.75">
      <c r="A23" s="130"/>
      <c r="B23" s="118">
        <f>(G23-32)/1.8</f>
        <v>18.333333333333332</v>
      </c>
      <c r="C23" s="118">
        <f>51.71493*H23</f>
        <v>6516.08118</v>
      </c>
      <c r="D23" s="108"/>
      <c r="E23" s="131"/>
      <c r="G23">
        <v>65</v>
      </c>
      <c r="H23">
        <v>126</v>
      </c>
    </row>
    <row r="24" spans="1:5" ht="12.75">
      <c r="A24" s="130"/>
      <c r="B24" s="108"/>
      <c r="C24" s="108"/>
      <c r="D24" s="108"/>
      <c r="E24" s="131"/>
    </row>
    <row r="25" spans="1:5" ht="12.75">
      <c r="A25" s="130" t="s">
        <v>128</v>
      </c>
      <c r="B25" s="108"/>
      <c r="C25" s="108"/>
      <c r="D25" s="108"/>
      <c r="E25" s="131"/>
    </row>
    <row r="26" spans="1:5" ht="12.75">
      <c r="A26" s="130"/>
      <c r="B26" s="111" t="s">
        <v>99</v>
      </c>
      <c r="C26" s="111" t="s">
        <v>100</v>
      </c>
      <c r="D26" s="111" t="s">
        <v>26</v>
      </c>
      <c r="E26" s="131"/>
    </row>
    <row r="27" spans="1:5" ht="12.75">
      <c r="A27" s="130"/>
      <c r="B27" s="134">
        <f>IF(C22&gt;0,LOG(C22)+C27/(B22+D27),"")</f>
        <v>7.040037177803664</v>
      </c>
      <c r="C27" s="134">
        <f>IF(C22&gt;0,LOG(C22/C23)/(1/(B23+D27)-1/(B22+D27)),"")</f>
        <v>850.0969273139809</v>
      </c>
      <c r="D27" s="134">
        <f>IF(C22&gt;0,(B21-(B23*D22))/(D22-1),"")</f>
        <v>245.17676263314735</v>
      </c>
      <c r="E27" s="131"/>
    </row>
    <row r="28" spans="1:5" ht="12.75">
      <c r="A28" s="132"/>
      <c r="B28" s="6"/>
      <c r="C28" s="6"/>
      <c r="D28" s="6"/>
      <c r="E28" s="133"/>
    </row>
    <row r="31" spans="1:5" ht="12.75">
      <c r="A31" s="136" t="s">
        <v>129</v>
      </c>
      <c r="B31" s="137"/>
      <c r="C31" s="137"/>
      <c r="D31" s="137"/>
      <c r="E31" s="138"/>
    </row>
    <row r="32" spans="1:5" ht="12.75">
      <c r="A32" s="130"/>
      <c r="B32" s="108"/>
      <c r="C32" s="108"/>
      <c r="D32" s="108"/>
      <c r="E32" s="131"/>
    </row>
    <row r="33" spans="1:8" ht="12.75">
      <c r="A33" s="130"/>
      <c r="B33" s="6" t="s">
        <v>121</v>
      </c>
      <c r="C33" s="6" t="s">
        <v>130</v>
      </c>
      <c r="D33" s="108"/>
      <c r="E33" s="131"/>
      <c r="G33" t="s">
        <v>49</v>
      </c>
      <c r="H33" t="s">
        <v>6</v>
      </c>
    </row>
    <row r="34" spans="1:8" ht="12.75">
      <c r="A34" s="130"/>
      <c r="B34" s="118">
        <f aca="true" t="shared" si="0" ref="B34:B39">(G34-32)/1.8</f>
        <v>-51.11111111111111</v>
      </c>
      <c r="C34" s="118">
        <v>89.81</v>
      </c>
      <c r="D34" s="108"/>
      <c r="E34" s="131"/>
      <c r="F34" s="118"/>
      <c r="G34">
        <v>-60</v>
      </c>
      <c r="H34">
        <v>89.81</v>
      </c>
    </row>
    <row r="35" spans="1:8" ht="12.75">
      <c r="A35" s="130"/>
      <c r="B35" s="118">
        <f t="shared" si="0"/>
        <v>-34.44444444444444</v>
      </c>
      <c r="C35" s="118">
        <v>86.81</v>
      </c>
      <c r="D35" s="108"/>
      <c r="E35" s="131"/>
      <c r="G35">
        <v>-30</v>
      </c>
      <c r="H35">
        <v>86.81</v>
      </c>
    </row>
    <row r="36" spans="1:8" ht="12.75">
      <c r="A36" s="130"/>
      <c r="B36" s="118">
        <f t="shared" si="0"/>
        <v>-20.555555555555554</v>
      </c>
      <c r="C36" s="118">
        <v>84.18</v>
      </c>
      <c r="D36" s="108"/>
      <c r="E36" s="131"/>
      <c r="G36">
        <v>-5</v>
      </c>
      <c r="H36">
        <v>84.18</v>
      </c>
    </row>
    <row r="37" spans="1:8" ht="12.75">
      <c r="A37" s="130"/>
      <c r="B37" s="118">
        <f t="shared" si="0"/>
        <v>-6.666666666666666</v>
      </c>
      <c r="C37" s="118">
        <v>81.41</v>
      </c>
      <c r="D37" s="108"/>
      <c r="E37" s="131"/>
      <c r="G37">
        <v>20</v>
      </c>
      <c r="H37">
        <v>81.41</v>
      </c>
    </row>
    <row r="38" spans="1:8" ht="12.75">
      <c r="A38" s="130"/>
      <c r="B38" s="118">
        <f t="shared" si="0"/>
        <v>7.222222222222222</v>
      </c>
      <c r="C38" s="118">
        <v>78.46</v>
      </c>
      <c r="D38" s="108"/>
      <c r="E38" s="131"/>
      <c r="G38">
        <v>45</v>
      </c>
      <c r="H38">
        <v>78.46</v>
      </c>
    </row>
    <row r="39" spans="1:8" ht="12.75">
      <c r="A39" s="130"/>
      <c r="B39" s="118">
        <f t="shared" si="0"/>
        <v>18.333333333333332</v>
      </c>
      <c r="C39" s="118">
        <v>75.93</v>
      </c>
      <c r="D39" s="108"/>
      <c r="E39" s="131"/>
      <c r="G39">
        <v>65</v>
      </c>
      <c r="H39">
        <v>75.93</v>
      </c>
    </row>
    <row r="40" spans="1:5" ht="12.75">
      <c r="A40" s="130"/>
      <c r="B40" s="108"/>
      <c r="C40" s="108"/>
      <c r="D40" s="108"/>
      <c r="E40" s="131"/>
    </row>
    <row r="41" spans="1:5" ht="12.75">
      <c r="A41" s="130" t="s">
        <v>105</v>
      </c>
      <c r="B41" s="108"/>
      <c r="C41" s="108"/>
      <c r="D41" s="108"/>
      <c r="E41" s="131"/>
    </row>
    <row r="42" spans="1:5" ht="12.75">
      <c r="A42" s="130"/>
      <c r="B42" s="7" t="s">
        <v>10</v>
      </c>
      <c r="C42" s="7" t="s">
        <v>92</v>
      </c>
      <c r="D42" s="108"/>
      <c r="E42" s="131"/>
    </row>
    <row r="43" spans="1:5" ht="12.75">
      <c r="A43" s="130"/>
      <c r="B43" s="135">
        <f>SLOPE(C34:C39,B34:B39)</f>
        <v>-0.19955731105203195</v>
      </c>
      <c r="C43" s="135">
        <f>INTERCEPT(C34:C39,B34:B39)</f>
        <v>79.86569464489176</v>
      </c>
      <c r="D43" s="108"/>
      <c r="E43" s="131"/>
    </row>
    <row r="44" spans="1:5" ht="12.75">
      <c r="A44" s="132"/>
      <c r="B44" s="6"/>
      <c r="C44" s="6"/>
      <c r="D44" s="6"/>
      <c r="E44" s="13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5:G13"/>
  <sheetViews>
    <sheetView zoomScalePageLayoutView="0" workbookViewId="0" topLeftCell="A1">
      <selection activeCell="A1" sqref="A1"/>
    </sheetView>
  </sheetViews>
  <sheetFormatPr defaultColWidth="9.140625" defaultRowHeight="12.75"/>
  <cols>
    <col min="2" max="2" width="16.00390625" style="0" customWidth="1"/>
    <col min="4" max="4" width="10.28125" style="0" bestFit="1" customWidth="1"/>
    <col min="6" max="6" width="10.28125" style="0" bestFit="1" customWidth="1"/>
    <col min="7" max="7" width="9.28125" style="0" bestFit="1" customWidth="1"/>
  </cols>
  <sheetData>
    <row r="5" spans="3:6" ht="12.75">
      <c r="C5" t="s">
        <v>21</v>
      </c>
      <c r="F5" t="s">
        <v>20</v>
      </c>
    </row>
    <row r="6" ht="12.75">
      <c r="A6" s="1" t="s">
        <v>7</v>
      </c>
    </row>
    <row r="7" spans="2:7" ht="12.75">
      <c r="B7" t="s">
        <v>3</v>
      </c>
      <c r="C7" t="s">
        <v>13</v>
      </c>
      <c r="D7" s="207">
        <v>10000</v>
      </c>
      <c r="F7" t="s">
        <v>8</v>
      </c>
      <c r="G7" s="208">
        <v>22000</v>
      </c>
    </row>
    <row r="8" spans="2:7" ht="12.75">
      <c r="B8" t="s">
        <v>16</v>
      </c>
      <c r="C8" t="s">
        <v>22</v>
      </c>
      <c r="D8" s="207">
        <v>1.2</v>
      </c>
      <c r="F8" t="s">
        <v>17</v>
      </c>
      <c r="G8" s="208">
        <v>1.2</v>
      </c>
    </row>
    <row r="9" spans="2:7" ht="12.75">
      <c r="B9" t="s">
        <v>0</v>
      </c>
      <c r="C9" t="s">
        <v>9</v>
      </c>
      <c r="D9" s="207">
        <v>38.1</v>
      </c>
      <c r="F9" t="s">
        <v>48</v>
      </c>
      <c r="G9" s="208">
        <v>1.5</v>
      </c>
    </row>
    <row r="10" spans="2:7" ht="12.75">
      <c r="B10" t="s">
        <v>5</v>
      </c>
      <c r="C10" t="s">
        <v>11</v>
      </c>
      <c r="D10" s="207">
        <v>961.5385</v>
      </c>
      <c r="F10" t="s">
        <v>6</v>
      </c>
      <c r="G10" s="208">
        <v>60</v>
      </c>
    </row>
    <row r="12" ht="12.75">
      <c r="A12" s="1" t="s">
        <v>15</v>
      </c>
    </row>
    <row r="13" spans="2:7" ht="12.75">
      <c r="B13" t="s">
        <v>67</v>
      </c>
      <c r="C13" t="s">
        <v>69</v>
      </c>
      <c r="D13" s="42">
        <f>4150*D7^1.8*D8^0.2/(D9^4.8*D10)</f>
        <v>1.83011248847292</v>
      </c>
      <c r="F13" t="s">
        <v>68</v>
      </c>
      <c r="G13" s="37">
        <f>G7^1.8*G8^0.2/(20000*G9^4.8*G10)</f>
        <v>8.086820161518578</v>
      </c>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4"/>
  <dimension ref="A5:S18"/>
  <sheetViews>
    <sheetView zoomScalePageLayoutView="0" workbookViewId="0" topLeftCell="A1">
      <selection activeCell="I14" sqref="I14"/>
    </sheetView>
  </sheetViews>
  <sheetFormatPr defaultColWidth="9.140625" defaultRowHeight="12.75"/>
  <cols>
    <col min="2" max="2" width="18.57421875" style="0" customWidth="1"/>
    <col min="3" max="3" width="15.140625" style="0" customWidth="1"/>
    <col min="4" max="5" width="12.421875" style="0" customWidth="1"/>
    <col min="7" max="7" width="10.8515625" style="0" customWidth="1"/>
    <col min="8" max="8" width="19.57421875" style="0" customWidth="1"/>
    <col min="9" max="10" width="12.57421875" style="0" customWidth="1"/>
  </cols>
  <sheetData>
    <row r="5" spans="7:8" ht="15.75">
      <c r="G5" s="4"/>
      <c r="H5" s="4"/>
    </row>
    <row r="6" spans="1:19" ht="12.75">
      <c r="A6" s="1" t="s">
        <v>7</v>
      </c>
      <c r="B6" s="3"/>
      <c r="C6" s="3"/>
      <c r="D6" s="3" t="s">
        <v>84</v>
      </c>
      <c r="E6" s="3" t="s">
        <v>85</v>
      </c>
      <c r="F6" s="3"/>
      <c r="G6" s="3"/>
      <c r="H6" s="3" t="s">
        <v>45</v>
      </c>
      <c r="I6" s="3" t="s">
        <v>84</v>
      </c>
      <c r="J6" s="3" t="s">
        <v>85</v>
      </c>
      <c r="K6" s="3"/>
      <c r="L6" s="3"/>
      <c r="M6" s="3"/>
      <c r="N6" s="3"/>
      <c r="O6" s="3"/>
      <c r="P6" s="3"/>
      <c r="Q6" s="3"/>
      <c r="R6" s="3"/>
      <c r="S6" s="3"/>
    </row>
    <row r="7" spans="1:10" ht="12.75">
      <c r="A7" s="1"/>
      <c r="B7" s="6" t="s">
        <v>29</v>
      </c>
      <c r="C7" s="6" t="s">
        <v>30</v>
      </c>
      <c r="D7" s="15" t="s">
        <v>31</v>
      </c>
      <c r="E7" s="17" t="s">
        <v>32</v>
      </c>
      <c r="H7" s="6" t="s">
        <v>30</v>
      </c>
      <c r="I7" s="22" t="s">
        <v>46</v>
      </c>
      <c r="J7" s="25" t="s">
        <v>47</v>
      </c>
    </row>
    <row r="8" spans="2:10" ht="12.75">
      <c r="B8" t="s">
        <v>23</v>
      </c>
      <c r="C8" t="s">
        <v>13</v>
      </c>
      <c r="D8" s="209">
        <v>10000</v>
      </c>
      <c r="E8" s="207">
        <v>1200</v>
      </c>
      <c r="H8" t="s">
        <v>8</v>
      </c>
      <c r="I8" s="212">
        <v>22000</v>
      </c>
      <c r="J8" s="208">
        <v>2645</v>
      </c>
    </row>
    <row r="9" spans="2:10" ht="12.75">
      <c r="B9" t="s">
        <v>16</v>
      </c>
      <c r="C9" t="s">
        <v>22</v>
      </c>
      <c r="D9" s="209">
        <v>1.2</v>
      </c>
      <c r="E9" s="210">
        <v>0.011</v>
      </c>
      <c r="H9" t="s">
        <v>17</v>
      </c>
      <c r="I9" s="212">
        <v>1.2</v>
      </c>
      <c r="J9" s="213">
        <v>0.011</v>
      </c>
    </row>
    <row r="10" spans="2:10" ht="12.75">
      <c r="B10" t="s">
        <v>0</v>
      </c>
      <c r="C10" t="s">
        <v>9</v>
      </c>
      <c r="D10" s="209">
        <v>38.1</v>
      </c>
      <c r="E10" s="207">
        <v>26.6</v>
      </c>
      <c r="H10" t="s">
        <v>48</v>
      </c>
      <c r="I10" s="212">
        <v>1.5</v>
      </c>
      <c r="J10" s="213">
        <v>1.047</v>
      </c>
    </row>
    <row r="11" spans="2:10" ht="12.75">
      <c r="B11" t="s">
        <v>5</v>
      </c>
      <c r="C11" t="s">
        <v>11</v>
      </c>
      <c r="D11" s="209">
        <v>961</v>
      </c>
      <c r="E11" s="18"/>
      <c r="H11" t="s">
        <v>6</v>
      </c>
      <c r="I11" s="212">
        <v>60</v>
      </c>
      <c r="J11" s="26"/>
    </row>
    <row r="12" spans="2:10" ht="12.75">
      <c r="B12" t="s">
        <v>1</v>
      </c>
      <c r="C12" t="s">
        <v>26</v>
      </c>
      <c r="D12" s="16"/>
      <c r="E12" s="207">
        <v>40</v>
      </c>
      <c r="H12" t="s">
        <v>49</v>
      </c>
      <c r="I12" s="23"/>
      <c r="J12" s="208">
        <v>104</v>
      </c>
    </row>
    <row r="13" spans="2:10" ht="12.75">
      <c r="B13" t="s">
        <v>24</v>
      </c>
      <c r="C13" t="s">
        <v>27</v>
      </c>
      <c r="D13" s="16"/>
      <c r="E13" s="211">
        <v>16.04</v>
      </c>
      <c r="H13" t="s">
        <v>50</v>
      </c>
      <c r="I13" s="23"/>
      <c r="J13" s="214">
        <v>16.04</v>
      </c>
    </row>
    <row r="14" spans="2:10" ht="12.75">
      <c r="B14" t="s">
        <v>25</v>
      </c>
      <c r="C14" t="s">
        <v>28</v>
      </c>
      <c r="D14" s="16"/>
      <c r="E14" s="207">
        <v>2200</v>
      </c>
      <c r="H14" t="s">
        <v>2</v>
      </c>
      <c r="I14" s="23"/>
      <c r="J14" s="208">
        <v>319</v>
      </c>
    </row>
    <row r="17" ht="12.75">
      <c r="A17" s="1" t="s">
        <v>15</v>
      </c>
    </row>
    <row r="18" spans="2:10" ht="12.75">
      <c r="B18" t="s">
        <v>33</v>
      </c>
      <c r="C18" t="s">
        <v>34</v>
      </c>
      <c r="D18" s="16">
        <f>NReSI(D8,D9,D10,D11)</f>
        <v>77357.31655055605</v>
      </c>
      <c r="E18" s="21">
        <f>NReSI(E8,E9,E10,,E12,E13,E14)</f>
        <v>1450489.3421837687</v>
      </c>
      <c r="I18" s="23">
        <f>NReUS(I8,I9,I10,I11)</f>
        <v>77197.93297648082</v>
      </c>
      <c r="J18" s="28">
        <f>NReUS(J8,J9,J10,,J12,J13,J14)</f>
        <v>1450580.402492068</v>
      </c>
    </row>
  </sheetData>
  <sheetProtection/>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5"/>
  <dimension ref="A5:T21"/>
  <sheetViews>
    <sheetView zoomScalePageLayoutView="0" workbookViewId="0" topLeftCell="A1">
      <selection activeCell="A1" sqref="A1"/>
    </sheetView>
  </sheetViews>
  <sheetFormatPr defaultColWidth="9.140625" defaultRowHeight="12.75"/>
  <cols>
    <col min="2" max="2" width="18.57421875" style="0" customWidth="1"/>
    <col min="3" max="3" width="15.140625" style="0" customWidth="1"/>
    <col min="4" max="5" width="12.421875" style="0" customWidth="1"/>
    <col min="8" max="8" width="19.00390625" style="0" customWidth="1"/>
    <col min="9" max="9" width="12.57421875" style="0" customWidth="1"/>
    <col min="14" max="14" width="10.28125" style="0" bestFit="1" customWidth="1"/>
    <col min="16" max="16" width="10.28125" style="0" bestFit="1" customWidth="1"/>
    <col min="20" max="20" width="12.421875" style="0" bestFit="1" customWidth="1"/>
  </cols>
  <sheetData>
    <row r="5" spans="7:8" ht="15.75">
      <c r="G5" s="4"/>
      <c r="H5" s="4"/>
    </row>
    <row r="6" spans="1:9" ht="12.75">
      <c r="A6" s="1" t="s">
        <v>7</v>
      </c>
      <c r="D6" t="s">
        <v>84</v>
      </c>
      <c r="H6" s="3" t="s">
        <v>45</v>
      </c>
      <c r="I6" s="3" t="s">
        <v>84</v>
      </c>
    </row>
    <row r="7" spans="1:9" ht="12.75">
      <c r="A7" s="1"/>
      <c r="B7" s="6" t="s">
        <v>29</v>
      </c>
      <c r="C7" s="6" t="s">
        <v>30</v>
      </c>
      <c r="D7" s="15" t="s">
        <v>35</v>
      </c>
      <c r="E7" s="7"/>
      <c r="H7" s="6" t="s">
        <v>30</v>
      </c>
      <c r="I7" s="22" t="s">
        <v>51</v>
      </c>
    </row>
    <row r="8" spans="2:9" ht="12.75">
      <c r="B8" t="s">
        <v>23</v>
      </c>
      <c r="C8" t="s">
        <v>13</v>
      </c>
      <c r="D8" s="209">
        <v>290</v>
      </c>
      <c r="H8" t="s">
        <v>8</v>
      </c>
      <c r="I8" s="212">
        <v>22000</v>
      </c>
    </row>
    <row r="9" spans="2:9" ht="12.75">
      <c r="B9" t="s">
        <v>16</v>
      </c>
      <c r="C9" t="s">
        <v>22</v>
      </c>
      <c r="D9" s="209">
        <v>1.2</v>
      </c>
      <c r="H9" t="s">
        <v>17</v>
      </c>
      <c r="I9" s="212">
        <v>1.2</v>
      </c>
    </row>
    <row r="10" spans="2:9" ht="12.75">
      <c r="B10" t="s">
        <v>0</v>
      </c>
      <c r="C10" t="s">
        <v>9</v>
      </c>
      <c r="D10" s="209">
        <v>38.1</v>
      </c>
      <c r="H10" t="s">
        <v>48</v>
      </c>
      <c r="I10" s="212">
        <v>1.5</v>
      </c>
    </row>
    <row r="11" spans="2:9" ht="12.75">
      <c r="B11" t="s">
        <v>5</v>
      </c>
      <c r="C11" t="s">
        <v>11</v>
      </c>
      <c r="D11" s="209">
        <v>961</v>
      </c>
      <c r="H11" t="s">
        <v>6</v>
      </c>
      <c r="I11" s="212">
        <v>60</v>
      </c>
    </row>
    <row r="12" spans="2:9" ht="12.75">
      <c r="B12" t="s">
        <v>1</v>
      </c>
      <c r="C12" t="s">
        <v>26</v>
      </c>
      <c r="D12" s="29"/>
      <c r="H12" t="s">
        <v>49</v>
      </c>
      <c r="I12" s="23"/>
    </row>
    <row r="13" spans="2:9" ht="12.75">
      <c r="B13" t="s">
        <v>24</v>
      </c>
      <c r="C13" t="s">
        <v>27</v>
      </c>
      <c r="D13" s="29"/>
      <c r="H13" t="s">
        <v>50</v>
      </c>
      <c r="I13" s="23"/>
    </row>
    <row r="14" spans="2:9" ht="12.75">
      <c r="B14" t="s">
        <v>25</v>
      </c>
      <c r="C14" t="s">
        <v>28</v>
      </c>
      <c r="D14" s="29"/>
      <c r="H14" t="s">
        <v>2</v>
      </c>
      <c r="I14" s="23"/>
    </row>
    <row r="16" spans="2:9" ht="12.75">
      <c r="B16" t="s">
        <v>18</v>
      </c>
      <c r="C16" t="s">
        <v>10</v>
      </c>
      <c r="D16" s="215">
        <v>4.57E-05</v>
      </c>
      <c r="E16" s="10"/>
      <c r="H16" t="s">
        <v>52</v>
      </c>
      <c r="I16" s="216">
        <v>0.00015</v>
      </c>
    </row>
    <row r="18" ht="12.75">
      <c r="A18" s="1" t="s">
        <v>15</v>
      </c>
    </row>
    <row r="19" spans="2:9" ht="12.75">
      <c r="B19" t="s">
        <v>33</v>
      </c>
      <c r="C19" t="s">
        <v>34</v>
      </c>
      <c r="D19" s="30">
        <f>NReSI(D8,D9,D10,D11)</f>
        <v>2243.3621799661255</v>
      </c>
      <c r="E19" s="11"/>
      <c r="I19" s="33">
        <f>NReUS(I8,I9,I10,I11)</f>
        <v>77197.93297648082</v>
      </c>
    </row>
    <row r="21" spans="2:20" ht="12.75">
      <c r="B21" t="s">
        <v>19</v>
      </c>
      <c r="C21" t="s">
        <v>34</v>
      </c>
      <c r="D21" s="31">
        <f>FrictionSI(D16,D19,D10)</f>
        <v>0.030233988837428696</v>
      </c>
      <c r="I21" s="32">
        <f>FrictionUS(I16,I19,I10)</f>
        <v>0.02356950327117341</v>
      </c>
      <c r="T21" s="54"/>
    </row>
  </sheetData>
  <sheetProtection/>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dimension ref="A5:J41"/>
  <sheetViews>
    <sheetView zoomScalePageLayoutView="0" workbookViewId="0" topLeftCell="A1">
      <selection activeCell="A1" sqref="A1"/>
    </sheetView>
  </sheetViews>
  <sheetFormatPr defaultColWidth="9.140625" defaultRowHeight="12.75"/>
  <cols>
    <col min="2" max="2" width="25.8515625" style="0" customWidth="1"/>
    <col min="3" max="3" width="15.140625" style="0" customWidth="1"/>
    <col min="4" max="5" width="12.421875" style="0" customWidth="1"/>
    <col min="8" max="8" width="18.28125" style="0" customWidth="1"/>
    <col min="9" max="10" width="12.57421875" style="0" customWidth="1"/>
    <col min="14" max="14" width="12.140625" style="0" customWidth="1"/>
    <col min="15" max="15" width="11.28125" style="0" customWidth="1"/>
  </cols>
  <sheetData>
    <row r="5" spans="7:8" ht="15.75">
      <c r="G5" s="4"/>
      <c r="H5" s="4"/>
    </row>
    <row r="6" spans="1:10" ht="12.75">
      <c r="A6" s="1" t="s">
        <v>7</v>
      </c>
      <c r="D6" t="s">
        <v>84</v>
      </c>
      <c r="E6" t="s">
        <v>85</v>
      </c>
      <c r="H6" s="3" t="s">
        <v>45</v>
      </c>
      <c r="I6" t="s">
        <v>84</v>
      </c>
      <c r="J6" t="s">
        <v>85</v>
      </c>
    </row>
    <row r="7" spans="1:10" ht="12.75">
      <c r="A7" s="1"/>
      <c r="B7" s="6" t="s">
        <v>29</v>
      </c>
      <c r="C7" s="6" t="s">
        <v>30</v>
      </c>
      <c r="D7" s="15" t="s">
        <v>36</v>
      </c>
      <c r="E7" s="17" t="s">
        <v>42</v>
      </c>
      <c r="H7" s="6" t="s">
        <v>30</v>
      </c>
      <c r="I7" s="22" t="s">
        <v>53</v>
      </c>
      <c r="J7" s="25" t="s">
        <v>54</v>
      </c>
    </row>
    <row r="8" spans="2:10" ht="12.75">
      <c r="B8" t="s">
        <v>23</v>
      </c>
      <c r="C8" t="s">
        <v>13</v>
      </c>
      <c r="D8" s="209">
        <v>10000</v>
      </c>
      <c r="E8" s="207">
        <v>1200</v>
      </c>
      <c r="G8" s="13"/>
      <c r="H8" t="s">
        <v>8</v>
      </c>
      <c r="I8" s="212">
        <v>22000</v>
      </c>
      <c r="J8" s="208">
        <v>3080</v>
      </c>
    </row>
    <row r="9" spans="2:10" ht="12.75">
      <c r="B9" t="s">
        <v>37</v>
      </c>
      <c r="C9" t="s">
        <v>28</v>
      </c>
      <c r="D9" s="209">
        <v>700</v>
      </c>
      <c r="E9" s="207">
        <v>2200</v>
      </c>
      <c r="H9" t="s">
        <v>2</v>
      </c>
      <c r="I9" s="212">
        <v>101.5</v>
      </c>
      <c r="J9" s="208">
        <v>319</v>
      </c>
    </row>
    <row r="11" spans="2:10" ht="12.75">
      <c r="B11" t="s">
        <v>16</v>
      </c>
      <c r="C11" t="s">
        <v>22</v>
      </c>
      <c r="D11" s="209">
        <v>1.2</v>
      </c>
      <c r="E11" s="210">
        <v>0.011</v>
      </c>
      <c r="H11" t="s">
        <v>17</v>
      </c>
      <c r="I11" s="212">
        <v>1.2</v>
      </c>
      <c r="J11" s="213">
        <v>0.011</v>
      </c>
    </row>
    <row r="12" spans="2:10" ht="12.75">
      <c r="B12" t="s">
        <v>0</v>
      </c>
      <c r="C12" t="s">
        <v>9</v>
      </c>
      <c r="D12" s="209">
        <v>38.1</v>
      </c>
      <c r="E12" s="207">
        <v>26.6</v>
      </c>
      <c r="H12" t="s">
        <v>48</v>
      </c>
      <c r="I12" s="212">
        <v>1.5</v>
      </c>
      <c r="J12" s="213">
        <v>1.047</v>
      </c>
    </row>
    <row r="13" spans="2:10" ht="12.75">
      <c r="B13" t="s">
        <v>39</v>
      </c>
      <c r="C13" t="s">
        <v>10</v>
      </c>
      <c r="D13" s="209">
        <v>40</v>
      </c>
      <c r="E13" s="207">
        <v>60</v>
      </c>
      <c r="H13" t="s">
        <v>52</v>
      </c>
      <c r="I13" s="212">
        <v>131</v>
      </c>
      <c r="J13" s="208">
        <v>197</v>
      </c>
    </row>
    <row r="14" spans="2:10" ht="12.75">
      <c r="B14" t="s">
        <v>5</v>
      </c>
      <c r="C14" t="s">
        <v>11</v>
      </c>
      <c r="D14" s="209">
        <v>961</v>
      </c>
      <c r="E14" s="18"/>
      <c r="H14" t="s">
        <v>6</v>
      </c>
      <c r="I14" s="212">
        <v>60</v>
      </c>
      <c r="J14" s="26"/>
    </row>
    <row r="15" spans="2:10" ht="12.75">
      <c r="B15" t="s">
        <v>1</v>
      </c>
      <c r="C15" t="s">
        <v>26</v>
      </c>
      <c r="D15" s="29"/>
      <c r="E15" s="207">
        <v>40</v>
      </c>
      <c r="H15" t="s">
        <v>49</v>
      </c>
      <c r="I15" s="23"/>
      <c r="J15" s="208">
        <v>104</v>
      </c>
    </row>
    <row r="16" spans="2:10" ht="12.75">
      <c r="B16" t="s">
        <v>24</v>
      </c>
      <c r="C16" t="s">
        <v>27</v>
      </c>
      <c r="D16" s="29"/>
      <c r="E16" s="221">
        <v>16.04</v>
      </c>
      <c r="H16" t="s">
        <v>50</v>
      </c>
      <c r="I16" s="23"/>
      <c r="J16" s="214">
        <v>16.04</v>
      </c>
    </row>
    <row r="17" spans="2:10" ht="12.75">
      <c r="B17" t="s">
        <v>4</v>
      </c>
      <c r="D17" s="14"/>
      <c r="E17" s="221">
        <v>1.35</v>
      </c>
      <c r="I17" s="24"/>
      <c r="J17" s="222">
        <v>1.35</v>
      </c>
    </row>
    <row r="19" spans="2:10" ht="12.75">
      <c r="B19" t="s">
        <v>18</v>
      </c>
      <c r="C19" t="s">
        <v>10</v>
      </c>
      <c r="D19" s="215">
        <v>4.57E-05</v>
      </c>
      <c r="E19" s="219">
        <v>4.57E-05</v>
      </c>
      <c r="H19" t="s">
        <v>52</v>
      </c>
      <c r="I19" s="223">
        <v>0.00015</v>
      </c>
      <c r="J19" s="220">
        <v>0.00015</v>
      </c>
    </row>
    <row r="21" ht="12.75">
      <c r="A21" s="1" t="s">
        <v>15</v>
      </c>
    </row>
    <row r="22" spans="2:10" ht="12.75">
      <c r="B22" t="s">
        <v>33</v>
      </c>
      <c r="C22" t="s">
        <v>34</v>
      </c>
      <c r="D22" s="30">
        <f>NReSI(D8,D11,D12,D14)</f>
        <v>77357.31655055605</v>
      </c>
      <c r="E22" s="40">
        <f>NReSI(E8,E11,E12,E14)</f>
        <v>1450489.3421837687</v>
      </c>
      <c r="I22" s="23">
        <f>NReUS(I8,I11,I12,I14)</f>
        <v>77197.93297648082</v>
      </c>
      <c r="J22" s="28">
        <f>NReUS(J8,J11,J12,,J15,J16,J9)</f>
        <v>1689144.6652837691</v>
      </c>
    </row>
    <row r="24" spans="2:10" ht="12.75">
      <c r="B24" t="s">
        <v>19</v>
      </c>
      <c r="C24" t="s">
        <v>34</v>
      </c>
      <c r="D24" s="39">
        <f>FrictionSI(D19,D22,D12)</f>
        <v>0.02356305268081422</v>
      </c>
      <c r="E24" s="41">
        <f>FrictionSI(E19,E22,E12)</f>
        <v>0.022696807396609175</v>
      </c>
      <c r="I24" s="38">
        <f>FrictionUS(I19,I22,I12)</f>
        <v>0.02356950327117341</v>
      </c>
      <c r="J24" s="36">
        <f>FrictionUS(J19,J22,J12)</f>
        <v>0.02267462172015904</v>
      </c>
    </row>
    <row r="26" spans="2:10" ht="12.75">
      <c r="B26" t="s">
        <v>41</v>
      </c>
      <c r="D26" s="16">
        <f>PDsi(D8,D9,,D12,D13,D24,D14)</f>
        <v>623.5938117085911</v>
      </c>
      <c r="E26" s="18">
        <f>PDsi(E8,E9,,E12,E13,E24,,E15,E16,E17)</f>
        <v>1246.3182473509921</v>
      </c>
      <c r="I26" s="23">
        <f>PDUS(I8,I9,,I12,I13,I24,I14)</f>
        <v>90.48248977867574</v>
      </c>
      <c r="J26" s="26">
        <f>PDUS(J8,J9,,J12,J13,J24,,J15,J16,J17)</f>
        <v>171.25553866690666</v>
      </c>
    </row>
    <row r="36" ht="12.75">
      <c r="E36" s="55"/>
    </row>
    <row r="37" spans="5:10" ht="12.75">
      <c r="E37" s="55"/>
      <c r="J37" s="55"/>
    </row>
    <row r="38" spans="5:10" ht="12.75">
      <c r="E38" s="55"/>
      <c r="J38" s="55"/>
    </row>
    <row r="39" spans="5:10" ht="12.75">
      <c r="E39" s="55"/>
      <c r="J39" s="55"/>
    </row>
    <row r="40" spans="5:10" ht="12.75">
      <c r="E40" s="55"/>
      <c r="J40" s="55"/>
    </row>
    <row r="41" spans="5:10" ht="12.75">
      <c r="E41" s="55"/>
      <c r="J41" s="55"/>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dimension ref="A5:L32"/>
  <sheetViews>
    <sheetView zoomScalePageLayoutView="0" workbookViewId="0" topLeftCell="A1">
      <selection activeCell="A1" sqref="A1"/>
    </sheetView>
  </sheetViews>
  <sheetFormatPr defaultColWidth="9.140625" defaultRowHeight="12.75"/>
  <cols>
    <col min="2" max="2" width="25.8515625" style="0" customWidth="1"/>
    <col min="3" max="3" width="15.140625" style="0" customWidth="1"/>
    <col min="4" max="5" width="12.421875" style="0" customWidth="1"/>
    <col min="11" max="11" width="18.421875" style="0" customWidth="1"/>
    <col min="12" max="12" width="12.57421875" style="0" customWidth="1"/>
    <col min="17" max="17" width="14.7109375" style="0" customWidth="1"/>
    <col min="21" max="21" width="14.7109375" style="0" customWidth="1"/>
  </cols>
  <sheetData>
    <row r="5" spans="7:11" ht="15.75">
      <c r="G5" s="4"/>
      <c r="H5" s="4"/>
      <c r="K5" s="4"/>
    </row>
    <row r="6" spans="1:12" ht="15.75">
      <c r="A6" s="1" t="s">
        <v>7</v>
      </c>
      <c r="E6" t="s">
        <v>85</v>
      </c>
      <c r="H6" s="5"/>
      <c r="K6" s="3" t="s">
        <v>45</v>
      </c>
      <c r="L6" s="3" t="s">
        <v>85</v>
      </c>
    </row>
    <row r="7" spans="1:12" ht="15.75">
      <c r="A7" s="1"/>
      <c r="B7" s="6" t="s">
        <v>29</v>
      </c>
      <c r="C7" s="6" t="s">
        <v>30</v>
      </c>
      <c r="D7" s="7"/>
      <c r="E7" s="17" t="s">
        <v>42</v>
      </c>
      <c r="H7" s="5"/>
      <c r="K7" s="6" t="s">
        <v>30</v>
      </c>
      <c r="L7" s="25" t="s">
        <v>54</v>
      </c>
    </row>
    <row r="8" spans="2:12" ht="12.75">
      <c r="B8" t="s">
        <v>43</v>
      </c>
      <c r="C8" t="s">
        <v>13</v>
      </c>
      <c r="D8" s="8"/>
      <c r="E8" s="217">
        <v>1200</v>
      </c>
      <c r="G8" s="13"/>
      <c r="K8" t="s">
        <v>8</v>
      </c>
      <c r="L8" s="208">
        <v>3080.4327865681626</v>
      </c>
    </row>
    <row r="9" spans="2:12" ht="12.75">
      <c r="B9" t="s">
        <v>37</v>
      </c>
      <c r="C9" t="s">
        <v>28</v>
      </c>
      <c r="D9" s="8"/>
      <c r="E9" s="217">
        <v>2200</v>
      </c>
      <c r="K9" t="s">
        <v>2</v>
      </c>
      <c r="L9" s="208">
        <v>319</v>
      </c>
    </row>
    <row r="10" spans="2:12" ht="12.75">
      <c r="B10" t="s">
        <v>38</v>
      </c>
      <c r="D10" s="8"/>
      <c r="E10" s="217">
        <v>1340</v>
      </c>
      <c r="K10" t="s">
        <v>2</v>
      </c>
      <c r="L10" s="218">
        <v>116</v>
      </c>
    </row>
    <row r="11" spans="2:12" ht="12.75">
      <c r="B11" t="s">
        <v>16</v>
      </c>
      <c r="C11" t="s">
        <v>22</v>
      </c>
      <c r="D11" s="8"/>
      <c r="E11" s="217">
        <v>0.011</v>
      </c>
      <c r="K11" t="s">
        <v>17</v>
      </c>
      <c r="L11" s="213">
        <v>0.011</v>
      </c>
    </row>
    <row r="12" spans="2:12" ht="12.75">
      <c r="B12" t="s">
        <v>0</v>
      </c>
      <c r="C12" t="s">
        <v>9</v>
      </c>
      <c r="D12" s="8"/>
      <c r="E12" s="217">
        <v>26.6</v>
      </c>
      <c r="K12" t="s">
        <v>48</v>
      </c>
      <c r="L12" s="213">
        <v>1.047</v>
      </c>
    </row>
    <row r="13" spans="2:12" ht="12.75">
      <c r="B13" t="s">
        <v>39</v>
      </c>
      <c r="C13" t="s">
        <v>10</v>
      </c>
      <c r="D13" s="8"/>
      <c r="E13" s="217">
        <v>60</v>
      </c>
      <c r="K13" t="s">
        <v>52</v>
      </c>
      <c r="L13" s="208">
        <v>197</v>
      </c>
    </row>
    <row r="15" spans="2:12" ht="12.75">
      <c r="B15" t="s">
        <v>1</v>
      </c>
      <c r="C15" t="s">
        <v>26</v>
      </c>
      <c r="D15" s="8"/>
      <c r="E15" s="217">
        <v>40</v>
      </c>
      <c r="K15" t="s">
        <v>49</v>
      </c>
      <c r="L15" s="208">
        <v>104</v>
      </c>
    </row>
    <row r="16" spans="2:12" ht="12.75">
      <c r="B16" t="s">
        <v>24</v>
      </c>
      <c r="C16" t="s">
        <v>27</v>
      </c>
      <c r="D16" s="8"/>
      <c r="E16" s="217">
        <v>16.04</v>
      </c>
      <c r="K16" t="s">
        <v>50</v>
      </c>
      <c r="L16" s="214">
        <v>16.04</v>
      </c>
    </row>
    <row r="17" spans="2:12" ht="12.75">
      <c r="B17" t="s">
        <v>4</v>
      </c>
      <c r="E17" s="217">
        <v>1.35</v>
      </c>
      <c r="L17" s="218">
        <v>1.35</v>
      </c>
    </row>
    <row r="18" spans="4:12" ht="12.75">
      <c r="D18" s="8"/>
      <c r="E18" s="8"/>
      <c r="F18" s="8"/>
      <c r="G18" s="8"/>
      <c r="H18" s="8"/>
      <c r="I18" s="8"/>
      <c r="J18" s="8"/>
      <c r="K18" s="8"/>
      <c r="L18" s="8"/>
    </row>
    <row r="19" spans="2:12" ht="12.75">
      <c r="B19" t="s">
        <v>18</v>
      </c>
      <c r="C19" t="s">
        <v>10</v>
      </c>
      <c r="D19" s="10"/>
      <c r="E19" s="219">
        <v>4.57E-05</v>
      </c>
      <c r="K19" t="s">
        <v>52</v>
      </c>
      <c r="L19" s="220">
        <v>0.00015</v>
      </c>
    </row>
    <row r="20" spans="4:12" ht="12.75">
      <c r="D20" s="8"/>
      <c r="E20" s="8"/>
      <c r="F20" s="8"/>
      <c r="G20" s="8"/>
      <c r="H20" s="8"/>
      <c r="I20" s="8"/>
      <c r="J20" s="8"/>
      <c r="K20" s="8"/>
      <c r="L20" s="8"/>
    </row>
    <row r="21" spans="1:12" ht="12.75">
      <c r="A21" s="1" t="s">
        <v>15</v>
      </c>
      <c r="D21" s="8"/>
      <c r="E21" s="8"/>
      <c r="F21" s="8"/>
      <c r="G21" s="8"/>
      <c r="H21" s="8"/>
      <c r="I21" s="8"/>
      <c r="J21" s="8"/>
      <c r="K21" s="8"/>
      <c r="L21" s="8"/>
    </row>
    <row r="22" spans="2:12" ht="12.75">
      <c r="B22" t="s">
        <v>33</v>
      </c>
      <c r="C22" t="s">
        <v>34</v>
      </c>
      <c r="D22" s="9"/>
      <c r="E22" s="40">
        <f>NReSI(E8,E11,E12,E14)</f>
        <v>1450489.3421837687</v>
      </c>
      <c r="L22" s="28">
        <f>NReUS(L8,L11,L12,,L15,L16,L9)</f>
        <v>1689382.0156483206</v>
      </c>
    </row>
    <row r="24" spans="2:12" ht="12.75">
      <c r="B24" t="s">
        <v>19</v>
      </c>
      <c r="C24" t="s">
        <v>34</v>
      </c>
      <c r="D24" s="12"/>
      <c r="E24" s="41">
        <f>FrictionSI(E19,E22,E12)</f>
        <v>0.022696807396609175</v>
      </c>
      <c r="L24" s="36">
        <f>FrictionUS(L19,L22,L12)</f>
        <v>0.022674599285523345</v>
      </c>
    </row>
    <row r="26" spans="2:12" ht="12.75">
      <c r="B26" t="s">
        <v>40</v>
      </c>
      <c r="E26" s="18">
        <f>PDsi(,E9,E10,E12,E13,E24,E14,E15,E16,E17)</f>
        <v>1152.4541524066449</v>
      </c>
      <c r="L26" s="26">
        <f>PDUS(,L9,L10,L12,L13,L24,L14,L15,L16,L17)</f>
        <v>3015.5863804213436</v>
      </c>
    </row>
    <row r="32" spans="2:12" ht="12.75">
      <c r="B32" t="s">
        <v>44</v>
      </c>
      <c r="E32" s="18">
        <f>E8-E26</f>
        <v>47.54584759335512</v>
      </c>
      <c r="L32" s="26">
        <f>L8-L26</f>
        <v>64.84640614681894</v>
      </c>
    </row>
  </sheetData>
  <sheetProtection/>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2"/>
  <dimension ref="A6:W50"/>
  <sheetViews>
    <sheetView zoomScalePageLayoutView="0" workbookViewId="0" topLeftCell="A1">
      <selection activeCell="S17" sqref="S17"/>
    </sheetView>
  </sheetViews>
  <sheetFormatPr defaultColWidth="9.140625" defaultRowHeight="12.75"/>
  <cols>
    <col min="2" max="2" width="27.00390625" style="0" customWidth="1"/>
    <col min="3" max="3" width="15.140625" style="0" customWidth="1"/>
    <col min="4" max="5" width="12.421875" style="0" customWidth="1"/>
    <col min="10" max="10" width="10.00390625" style="0" customWidth="1"/>
    <col min="11" max="11" width="10.28125" style="0" customWidth="1"/>
    <col min="12" max="12" width="10.57421875" style="0" customWidth="1"/>
    <col min="18" max="18" width="15.421875" style="0" customWidth="1"/>
    <col min="19" max="19" width="11.57421875" style="0" customWidth="1"/>
  </cols>
  <sheetData>
    <row r="6" spans="1:5" ht="12.75">
      <c r="A6" s="1" t="s">
        <v>7</v>
      </c>
      <c r="D6" t="s">
        <v>84</v>
      </c>
      <c r="E6" t="s">
        <v>85</v>
      </c>
    </row>
    <row r="7" spans="1:19" ht="12.75">
      <c r="A7" s="1"/>
      <c r="B7" s="6" t="s">
        <v>29</v>
      </c>
      <c r="C7" s="6" t="s">
        <v>30</v>
      </c>
      <c r="D7" s="15" t="s">
        <v>36</v>
      </c>
      <c r="E7" s="17" t="s">
        <v>42</v>
      </c>
      <c r="R7" s="3" t="s">
        <v>45</v>
      </c>
      <c r="S7" t="s">
        <v>84</v>
      </c>
    </row>
    <row r="8" spans="2:19" ht="12.75">
      <c r="B8" t="s">
        <v>23</v>
      </c>
      <c r="C8" t="s">
        <v>13</v>
      </c>
      <c r="D8" s="209">
        <v>10000</v>
      </c>
      <c r="E8" s="207">
        <v>1200</v>
      </c>
      <c r="R8" s="6" t="s">
        <v>30</v>
      </c>
      <c r="S8" s="22" t="s">
        <v>53</v>
      </c>
    </row>
    <row r="9" spans="2:19" ht="12.75">
      <c r="B9" t="s">
        <v>37</v>
      </c>
      <c r="C9" t="s">
        <v>28</v>
      </c>
      <c r="D9" s="209">
        <v>700</v>
      </c>
      <c r="E9" s="207">
        <v>2200</v>
      </c>
      <c r="R9" t="s">
        <v>8</v>
      </c>
      <c r="S9" s="212">
        <v>63000</v>
      </c>
    </row>
    <row r="10" spans="18:19" ht="12.75">
      <c r="R10" t="s">
        <v>2</v>
      </c>
      <c r="S10" s="212">
        <v>101.5</v>
      </c>
    </row>
    <row r="11" spans="2:5" ht="12.75">
      <c r="B11" t="s">
        <v>16</v>
      </c>
      <c r="C11" t="s">
        <v>22</v>
      </c>
      <c r="D11" s="209">
        <v>12</v>
      </c>
      <c r="E11" s="210">
        <v>0.011</v>
      </c>
    </row>
    <row r="12" spans="2:19" ht="12.75">
      <c r="B12" t="s">
        <v>0</v>
      </c>
      <c r="C12" t="s">
        <v>9</v>
      </c>
      <c r="D12" s="209">
        <v>50</v>
      </c>
      <c r="E12" s="207">
        <v>26.6</v>
      </c>
      <c r="R12" t="s">
        <v>17</v>
      </c>
      <c r="S12" s="212">
        <v>10</v>
      </c>
    </row>
    <row r="13" spans="2:21" ht="12.75">
      <c r="B13" t="s">
        <v>162</v>
      </c>
      <c r="C13" t="s">
        <v>10</v>
      </c>
      <c r="D13" s="209">
        <v>38.1</v>
      </c>
      <c r="E13" s="207">
        <v>60</v>
      </c>
      <c r="R13" t="s">
        <v>48</v>
      </c>
      <c r="S13" s="212">
        <v>3.068</v>
      </c>
      <c r="T13">
        <v>3</v>
      </c>
      <c r="U13" t="s">
        <v>205</v>
      </c>
    </row>
    <row r="14" spans="2:19" ht="12.75">
      <c r="B14" t="s">
        <v>5</v>
      </c>
      <c r="C14" t="s">
        <v>11</v>
      </c>
      <c r="D14" s="209">
        <v>961</v>
      </c>
      <c r="E14" s="207">
        <f>(E9*1000)*E16/(8314*(E15+273.15))</f>
        <v>13.553910344232374</v>
      </c>
      <c r="R14" t="s">
        <v>52</v>
      </c>
      <c r="S14" s="212">
        <v>31.5</v>
      </c>
    </row>
    <row r="15" spans="2:19" ht="12.75">
      <c r="B15" t="s">
        <v>1</v>
      </c>
      <c r="C15" t="s">
        <v>26</v>
      </c>
      <c r="D15" s="29"/>
      <c r="E15" s="207">
        <v>40</v>
      </c>
      <c r="R15" t="s">
        <v>6</v>
      </c>
      <c r="S15" s="212">
        <v>112.47</v>
      </c>
    </row>
    <row r="16" spans="2:19" ht="12.75">
      <c r="B16" t="s">
        <v>24</v>
      </c>
      <c r="C16" t="s">
        <v>27</v>
      </c>
      <c r="D16" s="224"/>
      <c r="E16" s="221">
        <v>16.04</v>
      </c>
      <c r="R16" t="s">
        <v>49</v>
      </c>
      <c r="S16" s="212">
        <v>127</v>
      </c>
    </row>
    <row r="17" spans="2:19" ht="12.75">
      <c r="B17" t="s">
        <v>4</v>
      </c>
      <c r="D17" s="14"/>
      <c r="E17" s="221">
        <v>1.35</v>
      </c>
      <c r="R17" t="s">
        <v>50</v>
      </c>
      <c r="S17" s="227"/>
    </row>
    <row r="18" spans="12:17" ht="12.75">
      <c r="L18" t="s">
        <v>186</v>
      </c>
      <c r="N18" t="s">
        <v>184</v>
      </c>
      <c r="Q18" t="s">
        <v>185</v>
      </c>
    </row>
    <row r="19" spans="2:14" ht="12.75">
      <c r="B19" t="s">
        <v>18</v>
      </c>
      <c r="C19" t="s">
        <v>10</v>
      </c>
      <c r="D19" s="215">
        <v>4.57E-05</v>
      </c>
      <c r="E19" s="219">
        <v>4.57E-05</v>
      </c>
      <c r="N19" t="s">
        <v>181</v>
      </c>
    </row>
    <row r="20" spans="14:19" ht="12.75">
      <c r="N20" t="s">
        <v>177</v>
      </c>
      <c r="O20" t="s">
        <v>178</v>
      </c>
      <c r="P20" t="s">
        <v>52</v>
      </c>
      <c r="Q20" t="s">
        <v>183</v>
      </c>
      <c r="R20" t="s">
        <v>52</v>
      </c>
      <c r="S20" s="223">
        <v>0.00015</v>
      </c>
    </row>
    <row r="21" spans="1:12" ht="12.75">
      <c r="A21" s="1" t="s">
        <v>163</v>
      </c>
      <c r="C21" s="157" t="s">
        <v>172</v>
      </c>
      <c r="G21" t="s">
        <v>168</v>
      </c>
      <c r="H21" t="s">
        <v>169</v>
      </c>
      <c r="I21" t="s">
        <v>170</v>
      </c>
      <c r="J21" t="s">
        <v>171</v>
      </c>
      <c r="L21" t="s">
        <v>195</v>
      </c>
    </row>
    <row r="22" spans="2:17" ht="12.75">
      <c r="B22" t="s">
        <v>164</v>
      </c>
      <c r="C22" s="157">
        <v>6</v>
      </c>
      <c r="G22">
        <v>20</v>
      </c>
      <c r="H22">
        <v>800</v>
      </c>
      <c r="I22">
        <v>0.091</v>
      </c>
      <c r="J22">
        <v>4</v>
      </c>
      <c r="L22">
        <f>C22*G22</f>
        <v>120</v>
      </c>
      <c r="N22" s="13">
        <f>(H22/D$30+I22*(1+J22/(D$12/25.4)^0.3))*$C22</f>
        <v>3.142727797576633</v>
      </c>
      <c r="O22" s="13">
        <f aca="true" t="shared" si="0" ref="N22:O25">(I22/E$30+J22*(1+K22/(E$12/25.4)^0.3))*$C22</f>
        <v>24.000000376424687</v>
      </c>
      <c r="P22">
        <f>0.25/(LOG((D$19/(D$12/1000))/3.7))^2</f>
        <v>0.019212602316172996</v>
      </c>
      <c r="Q22" s="50">
        <f>G22*P22*C22</f>
        <v>2.3055122779407595</v>
      </c>
    </row>
    <row r="23" spans="2:19" ht="12.75">
      <c r="B23" t="s">
        <v>165</v>
      </c>
      <c r="C23" s="157">
        <v>2</v>
      </c>
      <c r="G23">
        <v>20</v>
      </c>
      <c r="H23">
        <v>800</v>
      </c>
      <c r="I23">
        <v>0.28</v>
      </c>
      <c r="J23">
        <v>4</v>
      </c>
      <c r="L23">
        <f>C23*G23</f>
        <v>40</v>
      </c>
      <c r="N23" s="13">
        <f t="shared" si="0"/>
        <v>2.6595638429054285</v>
      </c>
      <c r="O23" s="13">
        <f t="shared" si="0"/>
        <v>8.000000386076604</v>
      </c>
      <c r="P23">
        <f>0.25/(LOG((D$19/(D$12/1000))/3.7))^2</f>
        <v>0.019212602316172996</v>
      </c>
      <c r="Q23" s="50">
        <f>G23*P23*C23</f>
        <v>0.7685040926469199</v>
      </c>
      <c r="S23" s="23">
        <f>NReUS(S9,S12,S13,S15)</f>
        <v>12970.0213339056</v>
      </c>
    </row>
    <row r="24" spans="2:17" ht="12.75">
      <c r="B24" t="s">
        <v>166</v>
      </c>
      <c r="C24" s="157">
        <v>2</v>
      </c>
      <c r="G24">
        <v>18</v>
      </c>
      <c r="H24">
        <v>300</v>
      </c>
      <c r="I24">
        <v>0.084</v>
      </c>
      <c r="J24">
        <v>3.9</v>
      </c>
      <c r="L24">
        <f>C24*G24</f>
        <v>36</v>
      </c>
      <c r="N24" s="13">
        <f t="shared" si="0"/>
        <v>0.8045156964875496</v>
      </c>
      <c r="O24" s="13">
        <f t="shared" si="0"/>
        <v>7.800000115822981</v>
      </c>
      <c r="P24">
        <f>0.25/(LOG((D$19/(D$12/1000))/3.7))^2</f>
        <v>0.019212602316172996</v>
      </c>
      <c r="Q24" s="50">
        <f>G24*P24*C24</f>
        <v>0.6916536833822279</v>
      </c>
    </row>
    <row r="25" spans="2:19" ht="12.75">
      <c r="B25" t="s">
        <v>167</v>
      </c>
      <c r="C25" s="157">
        <v>1</v>
      </c>
      <c r="G25">
        <v>100</v>
      </c>
      <c r="H25">
        <v>1500</v>
      </c>
      <c r="I25">
        <v>0.46</v>
      </c>
      <c r="J25">
        <v>4</v>
      </c>
      <c r="L25" s="6">
        <f>C25*G25</f>
        <v>100</v>
      </c>
      <c r="N25" s="159">
        <f t="shared" si="0"/>
        <v>2.216147414431002</v>
      </c>
      <c r="O25" s="159">
        <f t="shared" si="0"/>
        <v>4.0000003171343534</v>
      </c>
      <c r="P25">
        <f>0.25/(LOG((D$19/(D$12/1000))/3.7))^2</f>
        <v>0.019212602316172996</v>
      </c>
      <c r="Q25" s="160">
        <f>G25*P25*C25</f>
        <v>1.9212602316172995</v>
      </c>
      <c r="S25" s="166">
        <f>FrictionUS(S20,S23,S13)</f>
        <v>0.030034264941550072</v>
      </c>
    </row>
    <row r="26" spans="12:17" ht="12.75">
      <c r="L26" s="158">
        <f>SUM(L22:L25)</f>
        <v>296</v>
      </c>
      <c r="N26" s="13">
        <f>SUM(N22:N25)</f>
        <v>8.822954751400612</v>
      </c>
      <c r="O26" s="13">
        <f>SUM(O22:O25)</f>
        <v>43.80000119545862</v>
      </c>
      <c r="Q26" s="13">
        <f>SUM(Q22:Q25)</f>
        <v>5.686930285587207</v>
      </c>
    </row>
    <row r="27" spans="18:19" ht="12.75">
      <c r="R27" t="s">
        <v>202</v>
      </c>
      <c r="S27" s="167">
        <f>S10-PDUS(S9,S10,,S13,S14,S25,S15)</f>
        <v>0.4125903910023254</v>
      </c>
    </row>
    <row r="28" spans="18:19" ht="12.75">
      <c r="R28" t="s">
        <v>175</v>
      </c>
      <c r="S28" s="13">
        <f>S9/3600/((S13/24)^2*PI())/S15</f>
        <v>3.030841698866505</v>
      </c>
    </row>
    <row r="29" spans="1:19" ht="12.75">
      <c r="A29" s="1" t="s">
        <v>15</v>
      </c>
      <c r="L29" s="13"/>
      <c r="R29" t="s">
        <v>196</v>
      </c>
      <c r="S29">
        <f>0.25/(LOG((S$20/(S$13/12))/3.7))^2</f>
        <v>0.017314982541913923</v>
      </c>
    </row>
    <row r="30" spans="2:5" ht="12.75">
      <c r="B30" t="s">
        <v>33</v>
      </c>
      <c r="C30" t="s">
        <v>34</v>
      </c>
      <c r="D30" s="30">
        <f>NReSI(D8,D11,D12,D14)</f>
        <v>5894.62752115237</v>
      </c>
      <c r="E30" s="40">
        <f>NReSI(E8,E11,E12,E14)</f>
        <v>1450489.3421837685</v>
      </c>
    </row>
    <row r="32" spans="2:5" ht="12.75">
      <c r="B32" t="s">
        <v>19</v>
      </c>
      <c r="C32" t="s">
        <v>34</v>
      </c>
      <c r="D32" s="39">
        <f>FrictionSI(D19,D30,D12)</f>
        <v>0.037286871442418386</v>
      </c>
      <c r="E32" s="41">
        <f>FrictionSI(E19,E30,E12)</f>
        <v>0.022696807396609175</v>
      </c>
    </row>
    <row r="34" spans="2:10" ht="12.75">
      <c r="B34" t="s">
        <v>95</v>
      </c>
      <c r="D34" s="164">
        <f>D9-PDsi(D8,D9,,D12,D13,D32,D14)</f>
        <v>29.58644374300968</v>
      </c>
      <c r="E34" s="165">
        <f>E9-PDsi(E8,E9,,E12,E13,E32,,E15,E16,E17)</f>
        <v>953.6817526490079</v>
      </c>
      <c r="J34" t="s">
        <v>193</v>
      </c>
    </row>
    <row r="35" spans="7:23" ht="12.75">
      <c r="G35" t="s">
        <v>188</v>
      </c>
      <c r="I35" t="s">
        <v>189</v>
      </c>
      <c r="J35" t="s">
        <v>190</v>
      </c>
      <c r="K35" t="s">
        <v>183</v>
      </c>
      <c r="L35" t="s">
        <v>191</v>
      </c>
      <c r="U35" t="s">
        <v>203</v>
      </c>
      <c r="V35" t="s">
        <v>183</v>
      </c>
      <c r="W35" t="s">
        <v>191</v>
      </c>
    </row>
    <row r="36" spans="7:23" ht="12.75">
      <c r="G36">
        <v>50</v>
      </c>
      <c r="I36" t="s">
        <v>194</v>
      </c>
      <c r="J36" s="53">
        <v>0.059808254599829525</v>
      </c>
      <c r="K36" s="53">
        <v>0.043223557448391146</v>
      </c>
      <c r="L36" s="53">
        <v>0.0507754874155081</v>
      </c>
      <c r="R36" t="s">
        <v>197</v>
      </c>
      <c r="S36">
        <v>2</v>
      </c>
      <c r="U36" s="13">
        <f>G22*(S13/12)*S36</f>
        <v>10.226666666666667</v>
      </c>
      <c r="V36">
        <f>G22*S29*S36</f>
        <v>0.6925993016765569</v>
      </c>
      <c r="W36">
        <f>(H22/S$23+I22*(1+J22/(T$13)^0.3))*$S36</f>
        <v>0.8289558127284367</v>
      </c>
    </row>
    <row r="37" spans="2:23" ht="12.75">
      <c r="B37" t="s">
        <v>173</v>
      </c>
      <c r="C37" t="s">
        <v>10</v>
      </c>
      <c r="D37" s="51">
        <f>$L26*D12/1000</f>
        <v>14.8</v>
      </c>
      <c r="E37" s="161">
        <f>$L26*E12/1000</f>
        <v>7.873600000000001</v>
      </c>
      <c r="G37">
        <v>100</v>
      </c>
      <c r="I37" t="s">
        <v>194</v>
      </c>
      <c r="J37" s="53">
        <v>0.11961650919965905</v>
      </c>
      <c r="K37" s="53">
        <v>0.0867432089900376</v>
      </c>
      <c r="L37" s="53">
        <v>0.10193526998696603</v>
      </c>
      <c r="R37" t="s">
        <v>198</v>
      </c>
      <c r="S37">
        <v>1</v>
      </c>
      <c r="U37" s="13">
        <f>G23*(S13/12)</f>
        <v>5.113333333333333</v>
      </c>
      <c r="V37">
        <f>G23*S29</f>
        <v>0.34629965083827846</v>
      </c>
      <c r="W37">
        <f>(H23/S$23+I23*(1+J23/(T$13)^0.3))*$S37</f>
        <v>1.147210564917816</v>
      </c>
    </row>
    <row r="38" spans="7:23" ht="12.75">
      <c r="G38">
        <v>500</v>
      </c>
      <c r="I38" t="s">
        <v>194</v>
      </c>
      <c r="J38" s="53">
        <v>0.5980825459982952</v>
      </c>
      <c r="K38" s="53">
        <v>0.4455598086804002</v>
      </c>
      <c r="L38" s="53">
        <v>0.5250481561728233</v>
      </c>
      <c r="R38" t="s">
        <v>199</v>
      </c>
      <c r="S38">
        <v>1</v>
      </c>
      <c r="U38" s="13">
        <f>G25*(S13/12)</f>
        <v>25.566666666666666</v>
      </c>
      <c r="V38">
        <f>G25*S29</f>
        <v>1.7314982541913924</v>
      </c>
      <c r="W38">
        <f>(H25/S$23+I25*(1+J25/(T$13)^0.3))*$S38</f>
        <v>1.89902180495644</v>
      </c>
    </row>
    <row r="39" spans="2:23" ht="12.75">
      <c r="B39" t="s">
        <v>174</v>
      </c>
      <c r="D39" s="162">
        <f>D9-PDsi(D8,D9,,D12,D13+D37,D32,D14)</f>
        <v>41.07934052507119</v>
      </c>
      <c r="E39" s="163">
        <f>E9-PDsi(E8,E9,,E12,E13+E37,E32,,E15,E16,E17)</f>
        <v>1018.9273195385747</v>
      </c>
      <c r="G39">
        <v>1000</v>
      </c>
      <c r="I39" t="s">
        <v>194</v>
      </c>
      <c r="J39" s="53">
        <v>1.1961650919965905</v>
      </c>
      <c r="K39" s="53">
        <v>0.9207290266864445</v>
      </c>
      <c r="L39" s="53">
        <v>1.0885258279407428</v>
      </c>
      <c r="R39" t="s">
        <v>200</v>
      </c>
      <c r="S39">
        <v>1</v>
      </c>
      <c r="U39" s="13">
        <f>G24*(S13/12)</f>
        <v>4.601999999999999</v>
      </c>
      <c r="V39">
        <f>G24*S29</f>
        <v>0.31166968575445064</v>
      </c>
      <c r="W39">
        <f>(H24/S$23+I24*(1+J24/(T$13)^0.3))*$S39</f>
        <v>0.34274774802096347</v>
      </c>
    </row>
    <row r="40" spans="7:23" ht="12.75">
      <c r="G40">
        <v>2000</v>
      </c>
      <c r="I40" t="s">
        <v>194</v>
      </c>
      <c r="J40" s="53">
        <v>2.39233018401103</v>
      </c>
      <c r="K40" s="53">
        <v>1.9598956906878573</v>
      </c>
      <c r="L40" s="53">
        <v>2.330769718274263</v>
      </c>
      <c r="R40" t="s">
        <v>201</v>
      </c>
      <c r="S40">
        <v>1</v>
      </c>
      <c r="U40" s="6">
        <v>822.68</v>
      </c>
      <c r="V40" s="6">
        <v>57.92</v>
      </c>
      <c r="W40" s="168">
        <v>57.92</v>
      </c>
    </row>
    <row r="41" spans="2:23" ht="12.75">
      <c r="B41" t="s">
        <v>176</v>
      </c>
      <c r="C41" t="s">
        <v>111</v>
      </c>
      <c r="D41" s="52">
        <f>D8/3600/(PI()*(D12/2000)^2)</f>
        <v>1414.7106052612917</v>
      </c>
      <c r="E41" s="42">
        <f>E8/3600/(PI()*(E12/2000)^2)</f>
        <v>599.8264197783758</v>
      </c>
      <c r="G41">
        <v>10000</v>
      </c>
      <c r="I41" t="s">
        <v>192</v>
      </c>
      <c r="J41" s="53">
        <v>41.07934052507119</v>
      </c>
      <c r="K41" s="53">
        <v>35.50832560811577</v>
      </c>
      <c r="L41" s="53">
        <v>38.77391274916015</v>
      </c>
      <c r="U41" s="13">
        <f>SUM(U36:U40)</f>
        <v>868.1886666666666</v>
      </c>
      <c r="V41" s="13">
        <f>SUM(V36:V40)</f>
        <v>61.00206689246068</v>
      </c>
      <c r="W41" s="13">
        <f>SUM(W36:W40)</f>
        <v>62.137935930623655</v>
      </c>
    </row>
    <row r="42" spans="2:12" ht="12.75">
      <c r="B42" t="s">
        <v>175</v>
      </c>
      <c r="C42" t="s">
        <v>12</v>
      </c>
      <c r="D42" s="52">
        <f>D41/D14</f>
        <v>1.4721234185861516</v>
      </c>
      <c r="E42" s="42">
        <f>E41/E14</f>
        <v>44.25486110977717</v>
      </c>
      <c r="G42">
        <v>30000</v>
      </c>
      <c r="I42" t="s">
        <v>192</v>
      </c>
      <c r="J42" s="53">
        <v>284.1286546520706</v>
      </c>
      <c r="K42" s="53">
        <v>257.9340207603194</v>
      </c>
      <c r="L42" s="53">
        <v>278.3149097067952</v>
      </c>
    </row>
    <row r="43" spans="7:23" ht="12.75">
      <c r="G43">
        <v>50000</v>
      </c>
      <c r="I43" t="s">
        <v>192</v>
      </c>
      <c r="J43" s="53">
        <v>716.2605770896164</v>
      </c>
      <c r="K43" s="53">
        <v>663.9171409020262</v>
      </c>
      <c r="L43" s="53">
        <v>715.525501685057</v>
      </c>
      <c r="R43" t="s">
        <v>204</v>
      </c>
      <c r="U43" s="13">
        <f>S10-PDUS(S9,S10,,S13,S14+U41,S25,S15)</f>
        <v>11.784219008265353</v>
      </c>
      <c r="V43" s="13">
        <f>$S28^2/32.17/2*$S15*V41/144+$S27</f>
        <v>7.215022312848436</v>
      </c>
      <c r="W43" s="13">
        <f>$S28^2/32.17/2*$S15*W41/144+$S27</f>
        <v>7.341684771972282</v>
      </c>
    </row>
    <row r="44" spans="2:12" ht="12.75">
      <c r="B44" t="s">
        <v>182</v>
      </c>
      <c r="C44" t="s">
        <v>179</v>
      </c>
      <c r="D44" s="51">
        <f>0.5*N26*D42^2*D14/9.8</f>
        <v>937.4968373622922</v>
      </c>
      <c r="E44" s="161">
        <f>0.5*O26*E42^2*E14/9.8</f>
        <v>59320.47552214392</v>
      </c>
      <c r="G44">
        <v>70000</v>
      </c>
      <c r="I44" t="s">
        <v>192</v>
      </c>
      <c r="J44" s="53">
        <v>1328.9275243471654</v>
      </c>
      <c r="K44" s="53">
        <v>1247.301486959707</v>
      </c>
      <c r="L44" s="53">
        <v>1344.2494896104163</v>
      </c>
    </row>
    <row r="45" spans="3:23" ht="12.75">
      <c r="C45" t="s">
        <v>14</v>
      </c>
      <c r="D45" s="51">
        <f>D44*9.8/1000</f>
        <v>9.187469006150465</v>
      </c>
      <c r="E45" s="161">
        <f>E44*9.8/1000</f>
        <v>581.3406601170104</v>
      </c>
      <c r="U45" s="13">
        <f>(U43-$W43)/$W43</f>
        <v>0.605111003029298</v>
      </c>
      <c r="V45" s="13">
        <f>(V43-$W43)/$W43</f>
        <v>-0.017252505801855517</v>
      </c>
      <c r="W45">
        <v>1</v>
      </c>
    </row>
    <row r="47" spans="2:5" ht="12.75">
      <c r="B47" t="s">
        <v>180</v>
      </c>
      <c r="D47" s="162">
        <f>D34+D45</f>
        <v>38.77391274916015</v>
      </c>
      <c r="E47" s="163">
        <f>E34+E45</f>
        <v>1535.0224127660183</v>
      </c>
    </row>
    <row r="50" spans="2:5" ht="12.75">
      <c r="B50" t="s">
        <v>187</v>
      </c>
      <c r="D50" s="162">
        <f>0.5*$Q26*D42^2*D14/9.8*9.8/1000+D34</f>
        <v>35.50832560811577</v>
      </c>
      <c r="E50" s="163">
        <f>0.5*$Q26*E42^2*E14/9.8*9.8/1000+E34</f>
        <v>1029.1622027866547</v>
      </c>
    </row>
  </sheetData>
  <sheetProtection/>
  <printOptions/>
  <pageMargins left="0.75" right="0.75" top="1" bottom="1" header="0.5" footer="0.5"/>
  <pageSetup horizontalDpi="600" verticalDpi="600" orientation="portrait" r:id="rId3"/>
  <drawing r:id="rId2"/>
  <legacyDrawing r:id="rId1"/>
</worksheet>
</file>

<file path=xl/worksheets/sheet8.xml><?xml version="1.0" encoding="utf-8"?>
<worksheet xmlns="http://schemas.openxmlformats.org/spreadsheetml/2006/main" xmlns:r="http://schemas.openxmlformats.org/officeDocument/2006/relationships">
  <sheetPr codeName="Sheet9"/>
  <dimension ref="A6:H47"/>
  <sheetViews>
    <sheetView zoomScalePageLayoutView="0" workbookViewId="0" topLeftCell="A1">
      <selection activeCell="A1" sqref="A1"/>
    </sheetView>
  </sheetViews>
  <sheetFormatPr defaultColWidth="9.140625" defaultRowHeight="12.75"/>
  <cols>
    <col min="2" max="2" width="25.8515625" style="0" customWidth="1"/>
    <col min="3" max="3" width="15.140625" style="0" customWidth="1"/>
    <col min="4" max="4" width="12.421875" style="0" customWidth="1"/>
    <col min="5" max="5" width="11.57421875" style="0" customWidth="1"/>
    <col min="10" max="10" width="11.00390625" style="0" customWidth="1"/>
    <col min="12" max="12" width="11.8515625" style="0" bestFit="1" customWidth="1"/>
  </cols>
  <sheetData>
    <row r="6" spans="1:4" ht="12.75">
      <c r="A6" s="1" t="s">
        <v>7</v>
      </c>
      <c r="D6" t="s">
        <v>84</v>
      </c>
    </row>
    <row r="7" spans="1:4" ht="12.75">
      <c r="A7" s="1"/>
      <c r="B7" s="6" t="s">
        <v>29</v>
      </c>
      <c r="C7" s="6" t="s">
        <v>30</v>
      </c>
      <c r="D7" s="15" t="s">
        <v>55</v>
      </c>
    </row>
    <row r="8" spans="2:4" ht="12.75">
      <c r="B8" t="s">
        <v>23</v>
      </c>
      <c r="C8" t="s">
        <v>13</v>
      </c>
      <c r="D8" s="209">
        <v>10000</v>
      </c>
    </row>
    <row r="9" spans="1:4" ht="12.75">
      <c r="A9" t="s">
        <v>56</v>
      </c>
      <c r="B9" t="s">
        <v>37</v>
      </c>
      <c r="C9" t="s">
        <v>28</v>
      </c>
      <c r="D9" s="209">
        <v>700</v>
      </c>
    </row>
    <row r="10" spans="2:4" ht="12.75">
      <c r="B10" t="s">
        <v>16</v>
      </c>
      <c r="C10" t="s">
        <v>22</v>
      </c>
      <c r="D10" s="209">
        <v>1.2</v>
      </c>
    </row>
    <row r="11" spans="2:4" ht="12.75">
      <c r="B11" t="s">
        <v>0</v>
      </c>
      <c r="C11" t="s">
        <v>9</v>
      </c>
      <c r="D11" s="209">
        <v>38.1</v>
      </c>
    </row>
    <row r="12" spans="2:4" ht="12.75">
      <c r="B12" t="s">
        <v>39</v>
      </c>
      <c r="C12" t="s">
        <v>10</v>
      </c>
      <c r="D12" s="209">
        <v>60</v>
      </c>
    </row>
    <row r="13" spans="2:4" ht="12.75">
      <c r="B13" t="s">
        <v>5</v>
      </c>
      <c r="C13" t="s">
        <v>11</v>
      </c>
      <c r="D13" s="209">
        <v>961</v>
      </c>
    </row>
    <row r="14" spans="2:4" ht="12.75">
      <c r="B14" t="s">
        <v>1</v>
      </c>
      <c r="C14" t="s">
        <v>26</v>
      </c>
      <c r="D14" s="29"/>
    </row>
    <row r="15" spans="2:4" ht="12.75">
      <c r="B15" t="s">
        <v>24</v>
      </c>
      <c r="C15" t="s">
        <v>27</v>
      </c>
      <c r="D15" s="29"/>
    </row>
    <row r="16" spans="2:4" ht="12.75">
      <c r="B16" t="s">
        <v>4</v>
      </c>
      <c r="D16" s="14"/>
    </row>
    <row r="18" spans="2:4" ht="12.75">
      <c r="B18" t="s">
        <v>18</v>
      </c>
      <c r="C18" t="s">
        <v>10</v>
      </c>
      <c r="D18" s="215">
        <v>4.57E-05</v>
      </c>
    </row>
    <row r="19" spans="2:4" ht="12.75">
      <c r="B19" t="s">
        <v>62</v>
      </c>
      <c r="C19" t="s">
        <v>9</v>
      </c>
      <c r="D19" s="209">
        <v>19.05</v>
      </c>
    </row>
    <row r="22" ht="12.75">
      <c r="A22" s="1" t="s">
        <v>15</v>
      </c>
    </row>
    <row r="23" spans="2:4" ht="12.75">
      <c r="B23" t="s">
        <v>33</v>
      </c>
      <c r="C23" t="s">
        <v>34</v>
      </c>
      <c r="D23" s="30">
        <f>NReSI(D8,D10,D11,D13)</f>
        <v>77357.31655055605</v>
      </c>
    </row>
    <row r="25" spans="2:4" ht="12.75">
      <c r="B25" t="s">
        <v>19</v>
      </c>
      <c r="C25" t="s">
        <v>34</v>
      </c>
      <c r="D25" s="39">
        <f>FrictionSI(D18,D23,D11)</f>
        <v>0.02356305268081422</v>
      </c>
    </row>
    <row r="27" spans="1:7" ht="12.75">
      <c r="A27" t="s">
        <v>57</v>
      </c>
      <c r="B27" t="s">
        <v>38</v>
      </c>
      <c r="C27" t="s">
        <v>28</v>
      </c>
      <c r="D27" s="16">
        <f>PDsi(D8,D9,,D11,D12,D25,D13)</f>
        <v>585.3907175628867</v>
      </c>
      <c r="G27" s="13"/>
    </row>
    <row r="28" spans="1:4" ht="12.75">
      <c r="A28" t="s">
        <v>63</v>
      </c>
      <c r="B28" t="s">
        <v>86</v>
      </c>
      <c r="C28" t="s">
        <v>12</v>
      </c>
      <c r="D28" s="16">
        <f>D8/3600/(PI()*(D19/1000/2)^2)/D13</f>
        <v>10.141314944001156</v>
      </c>
    </row>
    <row r="29" spans="2:4" ht="12.75">
      <c r="B29" t="s">
        <v>74</v>
      </c>
      <c r="C29" t="s">
        <v>12</v>
      </c>
      <c r="D29" s="16"/>
    </row>
    <row r="30" spans="1:4" ht="12.75">
      <c r="A30" t="s">
        <v>65</v>
      </c>
      <c r="B30" t="s">
        <v>66</v>
      </c>
      <c r="C30" t="s">
        <v>34</v>
      </c>
      <c r="D30" s="16">
        <f>D19/D11</f>
        <v>0.5</v>
      </c>
    </row>
    <row r="31" spans="1:4" ht="12.75">
      <c r="A31" t="s">
        <v>26</v>
      </c>
      <c r="B31" t="s">
        <v>64</v>
      </c>
      <c r="C31" t="s">
        <v>34</v>
      </c>
      <c r="D31" s="49">
        <f>0.5959+0.0312*D30^2.1-0.184*D30^8+0.0029*D30^2.5*(10^6/D23)^0.75+0.09*D30^4/(1-D30^4)-0.0337*0.47*D30^3</f>
        <v>0.6099740305763445</v>
      </c>
    </row>
    <row r="32" spans="3:4" ht="12.75">
      <c r="C32" s="3" t="s">
        <v>266</v>
      </c>
      <c r="D32" s="43"/>
    </row>
    <row r="33" spans="1:7" ht="12.75">
      <c r="A33" t="s">
        <v>70</v>
      </c>
      <c r="B33" t="s">
        <v>71</v>
      </c>
      <c r="C33" t="s">
        <v>34</v>
      </c>
      <c r="D33" s="16">
        <v>1</v>
      </c>
      <c r="G33" s="13"/>
    </row>
    <row r="34" spans="1:8" ht="12.75">
      <c r="A34" t="s">
        <v>58</v>
      </c>
      <c r="B34" t="s">
        <v>60</v>
      </c>
      <c r="C34" t="s">
        <v>28</v>
      </c>
      <c r="D34" s="29">
        <f>D27-(D28^2/D31^2*D13/2)/1000</f>
        <v>452.5720125899455</v>
      </c>
      <c r="G34" s="13"/>
      <c r="H34" s="44"/>
    </row>
    <row r="35" spans="1:7" ht="12.75">
      <c r="A35" t="s">
        <v>59</v>
      </c>
      <c r="B35" t="s">
        <v>61</v>
      </c>
      <c r="C35" t="s">
        <v>28</v>
      </c>
      <c r="D35" s="29">
        <f>D27-(D28^2/D31^2*D13/2)/1000*(1-D30^2)</f>
        <v>485.7766888331808</v>
      </c>
      <c r="G35" s="44"/>
    </row>
    <row r="36" ht="12.75">
      <c r="G36" s="13"/>
    </row>
    <row r="37" spans="1:7" ht="12.75">
      <c r="A37" t="s">
        <v>72</v>
      </c>
      <c r="B37" t="s">
        <v>73</v>
      </c>
      <c r="C37" t="s">
        <v>14</v>
      </c>
      <c r="D37" s="51">
        <f>D27-D35</f>
        <v>99.61402872970592</v>
      </c>
      <c r="G37" s="13"/>
    </row>
    <row r="40" ht="12.75">
      <c r="G40" s="13"/>
    </row>
    <row r="42" spans="2:4" ht="12.75">
      <c r="B42" t="s">
        <v>87</v>
      </c>
      <c r="C42" t="s">
        <v>34</v>
      </c>
      <c r="D42" s="52">
        <f>(((1-D30^4*(1-D31^2))^0.5/(D31*D30^2))-1)^2</f>
        <v>29.45980016521832</v>
      </c>
    </row>
    <row r="43" spans="2:4" ht="12.75">
      <c r="B43" t="s">
        <v>88</v>
      </c>
      <c r="C43" t="s">
        <v>10</v>
      </c>
      <c r="D43" s="51">
        <f>D42*(D11/1000)/0.02</f>
        <v>56.1209193147409</v>
      </c>
    </row>
    <row r="45" ht="12.75">
      <c r="B45" t="s">
        <v>89</v>
      </c>
    </row>
    <row r="46" spans="2:4" ht="12.75">
      <c r="B46" t="s">
        <v>90</v>
      </c>
      <c r="D46" s="50">
        <f>D12/D43</f>
        <v>1.0691200488627812</v>
      </c>
    </row>
    <row r="47" spans="2:4" ht="12.75">
      <c r="B47" t="s">
        <v>91</v>
      </c>
      <c r="D47" s="13">
        <f>(D9-D27)/(D27-D35)</f>
        <v>1.150533553342127</v>
      </c>
    </row>
  </sheetData>
  <sheetProtection/>
  <printOptions/>
  <pageMargins left="0.75" right="0.75" top="1" bottom="1" header="0.5" footer="0.5"/>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V174"/>
  <sheetViews>
    <sheetView zoomScalePageLayoutView="0" workbookViewId="0" topLeftCell="A1">
      <selection activeCell="A1" sqref="A1"/>
    </sheetView>
  </sheetViews>
  <sheetFormatPr defaultColWidth="9.140625" defaultRowHeight="12.75"/>
  <cols>
    <col min="2" max="2" width="25.8515625" style="0" customWidth="1"/>
    <col min="3" max="3" width="18.28125" style="0" customWidth="1"/>
    <col min="4" max="5" width="12.421875" style="0" customWidth="1"/>
    <col min="6" max="6" width="12.00390625" style="0" customWidth="1"/>
    <col min="7" max="7" width="10.7109375" style="0" bestFit="1" customWidth="1"/>
    <col min="8" max="8" width="18.28125" style="0" customWidth="1"/>
    <col min="9" max="13" width="12.57421875" style="0" customWidth="1"/>
    <col min="14" max="14" width="11.57421875" style="0" customWidth="1"/>
    <col min="16" max="16" width="12.28125" style="0" customWidth="1"/>
    <col min="17" max="17" width="12.140625" style="0" customWidth="1"/>
    <col min="18" max="18" width="11.28125" style="0" customWidth="1"/>
    <col min="19" max="19" width="11.421875" style="0" bestFit="1" customWidth="1"/>
    <col min="21" max="21" width="12.00390625" style="0" customWidth="1"/>
    <col min="22" max="22" width="11.8515625" style="0" customWidth="1"/>
    <col min="23" max="23" width="12.28125" style="0" bestFit="1" customWidth="1"/>
  </cols>
  <sheetData>
    <row r="1" spans="7:8" ht="12.75">
      <c r="G1" t="s">
        <v>138</v>
      </c>
      <c r="H1" t="s">
        <v>97</v>
      </c>
    </row>
    <row r="3" ht="12.75">
      <c r="F3" s="102"/>
    </row>
    <row r="4" ht="12.75">
      <c r="F4" s="103"/>
    </row>
    <row r="5" spans="6:8" ht="12.75">
      <c r="F5" s="103"/>
      <c r="H5" t="s">
        <v>209</v>
      </c>
    </row>
    <row r="6" spans="1:10" ht="12.75" customHeight="1">
      <c r="A6" s="1" t="s">
        <v>7</v>
      </c>
      <c r="B6" t="s">
        <v>96</v>
      </c>
      <c r="D6" s="102" t="s">
        <v>107</v>
      </c>
      <c r="F6" s="145"/>
      <c r="H6" s="177" t="str">
        <f>'2-Phase Lock'!H6</f>
        <v>R12</v>
      </c>
      <c r="J6" s="145"/>
    </row>
    <row r="7" spans="2:10" ht="12.75" customHeight="1">
      <c r="B7" t="s">
        <v>110</v>
      </c>
      <c r="C7" t="s">
        <v>111</v>
      </c>
      <c r="D7" s="103">
        <v>1356</v>
      </c>
      <c r="F7" s="104"/>
      <c r="H7" s="106">
        <f>'2-Phase Lock'!H7</f>
        <v>2000</v>
      </c>
      <c r="J7" s="104"/>
    </row>
    <row r="8" spans="2:10" ht="12.75" customHeight="1">
      <c r="B8" t="s">
        <v>94</v>
      </c>
      <c r="C8" t="s">
        <v>109</v>
      </c>
      <c r="D8" s="103">
        <v>0.5</v>
      </c>
      <c r="F8" s="104"/>
      <c r="H8" s="106">
        <f>'2-Phase Lock'!H8</f>
        <v>0.9</v>
      </c>
      <c r="J8" s="104"/>
    </row>
    <row r="9" spans="2:10" ht="12.75" customHeight="1">
      <c r="B9" t="s">
        <v>75</v>
      </c>
      <c r="C9" t="s">
        <v>136</v>
      </c>
      <c r="D9" s="145">
        <v>1.01</v>
      </c>
      <c r="F9" s="105"/>
      <c r="H9" s="178">
        <f>'2-Phase Lock'!H9</f>
        <v>6</v>
      </c>
      <c r="J9" s="105"/>
    </row>
    <row r="10" spans="2:8" ht="12.75" customHeight="1">
      <c r="B10" t="s">
        <v>0</v>
      </c>
      <c r="C10" t="s">
        <v>9</v>
      </c>
      <c r="D10" s="104">
        <v>5</v>
      </c>
      <c r="H10" s="106">
        <f>'2-Phase Lock'!H10</f>
        <v>50</v>
      </c>
    </row>
    <row r="11" spans="2:8" ht="12.75" customHeight="1">
      <c r="B11" t="s">
        <v>39</v>
      </c>
      <c r="C11" t="s">
        <v>10</v>
      </c>
      <c r="D11" s="104">
        <v>1</v>
      </c>
      <c r="H11" s="106">
        <f>'2-Phase Lock'!H11</f>
        <v>1</v>
      </c>
    </row>
    <row r="12" spans="2:9" ht="12.75" customHeight="1">
      <c r="B12" t="s">
        <v>18</v>
      </c>
      <c r="C12" t="s">
        <v>10</v>
      </c>
      <c r="D12" s="105">
        <v>1.5E-06</v>
      </c>
      <c r="E12" t="s">
        <v>140</v>
      </c>
      <c r="H12" s="179">
        <f>'2-Phase Lock'!H12</f>
        <v>1.5E-06</v>
      </c>
      <c r="I12" t="s">
        <v>140</v>
      </c>
    </row>
    <row r="13" ht="12.75" customHeight="1"/>
    <row r="14" ht="12.75" customHeight="1">
      <c r="A14" s="1" t="s">
        <v>115</v>
      </c>
    </row>
    <row r="15" spans="1:10" ht="12.75" customHeight="1">
      <c r="A15" s="1"/>
      <c r="B15" s="6" t="s">
        <v>29</v>
      </c>
      <c r="C15" s="6" t="s">
        <v>30</v>
      </c>
      <c r="D15" s="7" t="s">
        <v>112</v>
      </c>
      <c r="E15" s="7" t="s">
        <v>113</v>
      </c>
      <c r="F15" s="7" t="s">
        <v>114</v>
      </c>
      <c r="H15" s="7" t="s">
        <v>112</v>
      </c>
      <c r="I15" s="7" t="s">
        <v>113</v>
      </c>
      <c r="J15" s="7" t="s">
        <v>114</v>
      </c>
    </row>
    <row r="16" spans="2:8" ht="12.75">
      <c r="B16" t="s">
        <v>116</v>
      </c>
      <c r="C16" t="s">
        <v>101</v>
      </c>
      <c r="D16">
        <f>PI()*((D10/1000)/2)^2</f>
        <v>1.9634954084936207E-05</v>
      </c>
      <c r="H16">
        <f>PI()*((H10/1000)/2)^2</f>
        <v>0.001963495408493621</v>
      </c>
    </row>
    <row r="17" spans="2:8" ht="12.75">
      <c r="B17" t="s">
        <v>93</v>
      </c>
      <c r="C17" t="s">
        <v>13</v>
      </c>
      <c r="D17" s="106">
        <f>D7*3600*D16</f>
        <v>95.84999186102459</v>
      </c>
      <c r="H17" s="106">
        <f>H7*3600*H16</f>
        <v>14137.16694115407</v>
      </c>
    </row>
    <row r="18" spans="2:8" ht="12.75">
      <c r="B18" t="s">
        <v>75</v>
      </c>
      <c r="C18" t="s">
        <v>14</v>
      </c>
      <c r="D18" s="106">
        <f>D9*100</f>
        <v>101</v>
      </c>
      <c r="H18" s="106">
        <f>H9*100</f>
        <v>600</v>
      </c>
    </row>
    <row r="19" spans="2:9" ht="12.75">
      <c r="B19" t="s">
        <v>1</v>
      </c>
      <c r="C19" t="s">
        <v>26</v>
      </c>
      <c r="D19" s="107">
        <f>VLOOKUP($D$6,props,4)/(VLOOKUP($D$6,props,3)-LOG(D18*7.500617))-VLOOKUP($D$6,props,5)</f>
        <v>97.39211405873885</v>
      </c>
      <c r="E19" s="13"/>
      <c r="H19" s="107">
        <f>VLOOKUP($H$6,props,4)/(VLOOKUP($H$6,props,3)-LOG(H18*7.500617))-VLOOKUP($H$6,props,5)</f>
        <v>22.049011232325256</v>
      </c>
      <c r="I19" s="13"/>
    </row>
    <row r="20" spans="2:10" ht="12.75">
      <c r="B20" t="s">
        <v>16</v>
      </c>
      <c r="C20" t="s">
        <v>22</v>
      </c>
      <c r="D20" s="13">
        <f>EXP(VLOOKUP($D$6,props,6)+VLOOKUP($D$6,props,7)/(VLOOKUP($D$6,props,8)+$D$19))</f>
        <v>0.2823316873612043</v>
      </c>
      <c r="E20" s="53">
        <f>EXP(VLOOKUP($D$6,props,9)+VLOOKUP($D$6,props,10)/(VLOOKUP($D$6,props,11)+$D$19))</f>
        <v>0.011981532829870783</v>
      </c>
      <c r="F20" s="53">
        <f>(D8/E20+(1-D8)/D20)^(-1)</f>
        <v>0.022987525866727372</v>
      </c>
      <c r="H20" s="13">
        <f>EXP(VLOOKUP($H$6,props,6)+VLOOKUP($H$6,props,7)/(VLOOKUP($H$6,props,8)+$H$19))</f>
        <v>0.20475995814146222</v>
      </c>
      <c r="I20" s="53">
        <f>EXP(VLOOKUP($H$6,props,9)+VLOOKUP($H$6,props,10)/(VLOOKUP($H$6,props,11)+$H$19))</f>
        <v>0.013204586655628589</v>
      </c>
      <c r="J20" s="53">
        <f>(H8/I20+(1-H8)/H20)^(-1)</f>
        <v>0.014567382589370306</v>
      </c>
    </row>
    <row r="21" spans="2:8" ht="12.75">
      <c r="B21" t="s">
        <v>24</v>
      </c>
      <c r="C21" t="s">
        <v>27</v>
      </c>
      <c r="D21" s="55">
        <f>VLOOKUP($D$6,props,16)</f>
        <v>18</v>
      </c>
      <c r="H21" s="55">
        <f>VLOOKUP($H$6,props,16)</f>
        <v>120.91</v>
      </c>
    </row>
    <row r="22" spans="2:10" ht="12.75">
      <c r="B22" t="s">
        <v>5</v>
      </c>
      <c r="C22" t="s">
        <v>11</v>
      </c>
      <c r="D22" s="44">
        <f>(VLOOKUP($D$6,props,12)*$D$19+VLOOKUP($D$6,props,13))</f>
        <v>998.6585794268196</v>
      </c>
      <c r="E22" s="140">
        <f>($D$18*1000)*$D$21/(8314.47*($D$19+273.15))</f>
        <v>0.5900947261938886</v>
      </c>
      <c r="F22" s="55">
        <f>(D8/E22+(1-D8)/D22)^(-1)</f>
        <v>1.1794925051815635</v>
      </c>
      <c r="H22" s="44">
        <f>(VLOOKUP($H$6,props,12)*$H$19+VLOOKUP($H$6,props,13))</f>
        <v>1325.3004955908962</v>
      </c>
      <c r="I22" s="140">
        <f>($H$18*1000)*$H$21/(8314.47*($H$19+273.15))</f>
        <v>29.55724846750082</v>
      </c>
      <c r="J22" s="55">
        <f>(H8/I22+(1-H8)/H22)^(-1)</f>
        <v>32.76020630501078</v>
      </c>
    </row>
    <row r="23" spans="2:9" ht="12.75">
      <c r="B23" t="s">
        <v>4</v>
      </c>
      <c r="D23" s="13"/>
      <c r="E23" s="175">
        <f>VLOOKUP($D$6,props,17)</f>
        <v>1.31</v>
      </c>
      <c r="I23" s="175">
        <f>VLOOKUP($H$6,props,17)</f>
        <v>1.17</v>
      </c>
    </row>
    <row r="26" ht="12.75">
      <c r="A26" s="1" t="s">
        <v>15</v>
      </c>
    </row>
    <row r="27" spans="2:10" ht="12.75">
      <c r="B27" t="s">
        <v>33</v>
      </c>
      <c r="C27" t="s">
        <v>34</v>
      </c>
      <c r="D27" s="99">
        <f>NReSI(D17,D20,D10,D22)</f>
        <v>24014.307648155143</v>
      </c>
      <c r="F27" s="141">
        <f>NReSI(D17,F20,D10,F22)</f>
        <v>294942.57182884694</v>
      </c>
      <c r="H27" s="99">
        <f>NReSI(H17,H20,H10,H22)</f>
        <v>488376.7358355087</v>
      </c>
      <c r="J27" s="141">
        <f>NReSI(H17,J20,H10,J22)</f>
        <v>6864651.173499887</v>
      </c>
    </row>
    <row r="28" spans="4:10" ht="12.75">
      <c r="D28" s="100"/>
      <c r="F28" s="142"/>
      <c r="H28" s="100"/>
      <c r="J28" s="142"/>
    </row>
    <row r="29" spans="2:10" ht="12.75">
      <c r="B29" t="s">
        <v>19</v>
      </c>
      <c r="C29" t="s">
        <v>34</v>
      </c>
      <c r="D29" s="101">
        <f>FrictionSI(D12,D27,D10)</f>
        <v>0.025489923494306208</v>
      </c>
      <c r="F29" s="143">
        <f>FrictionSI(D12,F27,D10)</f>
        <v>0.017089378871737854</v>
      </c>
      <c r="H29" s="101">
        <f>FrictionSI(H12,H27,H10)</f>
        <v>0.013609734880346077</v>
      </c>
      <c r="J29" s="143">
        <f>FrictionSI(H12,J27,H10)</f>
        <v>0.010345149647238525</v>
      </c>
    </row>
    <row r="30" spans="4:10" ht="12.75">
      <c r="D30" s="100"/>
      <c r="F30" s="142"/>
      <c r="H30" s="100"/>
      <c r="J30" s="142"/>
    </row>
    <row r="31" spans="2:10" ht="12.75">
      <c r="B31" t="s">
        <v>95</v>
      </c>
      <c r="D31" s="144">
        <f>D18-PDsi(D17,D18,,D10,D11,D29,D22)</f>
        <v>4.69321973803433</v>
      </c>
      <c r="F31" s="201">
        <f>D18-PD2Phase(D17,D18,,D10,D11,F29,F22)</f>
        <v>2664.099778768755</v>
      </c>
      <c r="H31" s="144">
        <f>H18-PDsi(H17,H18,,H10,H11,H29,H22)</f>
        <v>0.4107667774950414</v>
      </c>
      <c r="J31" s="141"/>
    </row>
    <row r="32" spans="4:8" ht="12.75">
      <c r="D32" s="50"/>
      <c r="H32" s="50"/>
    </row>
    <row r="33" spans="2:8" ht="12.75">
      <c r="B33" t="s">
        <v>131</v>
      </c>
      <c r="C33" t="s">
        <v>132</v>
      </c>
      <c r="D33" s="50">
        <f>((F29/D29)*(1+D8*(D22-E22)/E22))^0.5</f>
        <v>23.825377964538053</v>
      </c>
      <c r="H33" s="50">
        <f>((J29/H29)*(1+H8*(H22-I22)/I22))^0.5</f>
        <v>5.5453303361440485</v>
      </c>
    </row>
    <row r="34" spans="3:8" ht="12.75">
      <c r="C34" t="s">
        <v>133</v>
      </c>
      <c r="D34" s="50">
        <f>D33^2</f>
        <v>567.6486351530954</v>
      </c>
      <c r="H34" s="50">
        <f>H33^2</f>
        <v>30.750688536959466</v>
      </c>
    </row>
    <row r="35" spans="4:8" ht="12.75">
      <c r="D35" s="50"/>
      <c r="H35" s="50"/>
    </row>
    <row r="36" spans="2:8" ht="12.75">
      <c r="B36" t="s">
        <v>134</v>
      </c>
      <c r="C36" t="s">
        <v>135</v>
      </c>
      <c r="D36" s="50">
        <f>D34*D31</f>
        <v>2664.099778768755</v>
      </c>
      <c r="H36" s="169">
        <f>H31*H34</f>
        <v>12.631361236080549</v>
      </c>
    </row>
    <row r="41" ht="12.75">
      <c r="L41" t="s">
        <v>137</v>
      </c>
    </row>
    <row r="42" spans="11:20" ht="12.75">
      <c r="K42" t="s">
        <v>94</v>
      </c>
      <c r="L42">
        <v>1.01</v>
      </c>
      <c r="M42">
        <v>6.89</v>
      </c>
      <c r="N42">
        <v>34.4</v>
      </c>
      <c r="O42">
        <v>68.9</v>
      </c>
      <c r="P42">
        <v>103</v>
      </c>
      <c r="Q42">
        <v>138</v>
      </c>
      <c r="R42">
        <v>172</v>
      </c>
      <c r="S42">
        <v>207</v>
      </c>
      <c r="T42">
        <v>221.2</v>
      </c>
    </row>
    <row r="43" spans="11:20" ht="12.75">
      <c r="K43">
        <v>0</v>
      </c>
      <c r="L43">
        <v>1</v>
      </c>
      <c r="M43">
        <v>1</v>
      </c>
      <c r="N43">
        <v>1</v>
      </c>
      <c r="O43">
        <v>1</v>
      </c>
      <c r="P43">
        <v>1</v>
      </c>
      <c r="Q43">
        <v>1</v>
      </c>
      <c r="R43">
        <v>1</v>
      </c>
      <c r="S43">
        <v>1</v>
      </c>
      <c r="T43">
        <v>1</v>
      </c>
    </row>
    <row r="44" spans="11:20" ht="12.75">
      <c r="K44">
        <v>0.03</v>
      </c>
      <c r="L44">
        <v>46.416452917035386</v>
      </c>
      <c r="M44">
        <v>8.224628681393506</v>
      </c>
      <c r="N44">
        <v>2.4811895241416853</v>
      </c>
      <c r="O44">
        <v>1.7242090338389846</v>
      </c>
      <c r="P44">
        <v>1.4712973630042976</v>
      </c>
      <c r="Q44">
        <v>1.3412146621402037</v>
      </c>
      <c r="R44">
        <v>1.2654366387169134</v>
      </c>
      <c r="S44">
        <v>1.2133811799058494</v>
      </c>
      <c r="T44">
        <v>1.196943685383867</v>
      </c>
    </row>
    <row r="45" spans="11:20" ht="12.75">
      <c r="K45">
        <v>0.05</v>
      </c>
      <c r="L45">
        <v>73.33228770117434</v>
      </c>
      <c r="M45">
        <v>12.64834921866334</v>
      </c>
      <c r="N45">
        <v>3.4233067694097303</v>
      </c>
      <c r="O45">
        <v>2.1930999437704375</v>
      </c>
      <c r="P45">
        <v>1.7794182974978459</v>
      </c>
      <c r="Q45">
        <v>1.5657530536022777</v>
      </c>
      <c r="R45">
        <v>1.44090454689167</v>
      </c>
      <c r="S45">
        <v>1.354939381298124</v>
      </c>
      <c r="T45">
        <v>1.3277551884387615</v>
      </c>
    </row>
    <row r="46" spans="11:20" ht="12.75">
      <c r="K46">
        <v>0.08</v>
      </c>
      <c r="L46">
        <v>111.18442840370574</v>
      </c>
      <c r="M46">
        <v>18.938059211841818</v>
      </c>
      <c r="N46">
        <v>4.787807807607673</v>
      </c>
      <c r="O46">
        <v>2.8798245713267563</v>
      </c>
      <c r="P46">
        <v>2.2338489077038863</v>
      </c>
      <c r="Q46">
        <v>1.898624121417624</v>
      </c>
      <c r="R46">
        <v>1.7020345649356567</v>
      </c>
      <c r="S46">
        <v>1.566278588952721</v>
      </c>
      <c r="T46">
        <v>1.5232703009306041</v>
      </c>
    </row>
    <row r="47" spans="11:20" ht="12.75">
      <c r="K47">
        <v>0.11</v>
      </c>
      <c r="L47">
        <v>147.18519503327437</v>
      </c>
      <c r="M47">
        <v>24.95216538938096</v>
      </c>
      <c r="N47">
        <v>6.1083288329995</v>
      </c>
      <c r="O47">
        <v>3.5502957723818778</v>
      </c>
      <c r="P47">
        <v>2.680273139690357</v>
      </c>
      <c r="Q47">
        <v>2.227250280359933</v>
      </c>
      <c r="R47">
        <v>1.9608533828055088</v>
      </c>
      <c r="S47">
        <v>1.7764715255293893</v>
      </c>
      <c r="T47">
        <v>1.7179705703749732</v>
      </c>
    </row>
    <row r="48" spans="11:20" ht="12.75">
      <c r="K48">
        <v>0.15</v>
      </c>
      <c r="L48">
        <v>193.40724300411102</v>
      </c>
      <c r="M48">
        <v>32.688893582434375</v>
      </c>
      <c r="N48">
        <v>7.8187757507547975</v>
      </c>
      <c r="O48">
        <v>4.424185918572218</v>
      </c>
      <c r="P48">
        <v>3.2650409440355728</v>
      </c>
      <c r="Q48">
        <v>2.6596018244677366</v>
      </c>
      <c r="R48">
        <v>2.3026529953833483</v>
      </c>
      <c r="S48">
        <v>2.055038949819506</v>
      </c>
      <c r="T48">
        <v>1.976354505406701</v>
      </c>
    </row>
    <row r="49" spans="11:20" ht="12.75">
      <c r="K49">
        <v>0.2</v>
      </c>
      <c r="L49">
        <v>249.36525284588603</v>
      </c>
      <c r="M49">
        <v>42.057764238853416</v>
      </c>
      <c r="N49">
        <v>9.897995235682806</v>
      </c>
      <c r="O49">
        <v>5.491333751827085</v>
      </c>
      <c r="P49">
        <v>3.982109515995842</v>
      </c>
      <c r="Q49">
        <v>3.1919361211206683</v>
      </c>
      <c r="R49">
        <v>2.7251201081019447</v>
      </c>
      <c r="S49">
        <v>2.4006975871382488</v>
      </c>
      <c r="T49">
        <v>2.297471771200633</v>
      </c>
    </row>
    <row r="50" spans="11:20" ht="12.75">
      <c r="K50">
        <v>0.3</v>
      </c>
      <c r="L50">
        <v>357.7600185552594</v>
      </c>
      <c r="M50">
        <v>60.18602161110582</v>
      </c>
      <c r="N50">
        <v>13.926531694032581</v>
      </c>
      <c r="O50">
        <v>7.565444745553108</v>
      </c>
      <c r="P50">
        <v>5.380827355711365</v>
      </c>
      <c r="Q50">
        <v>4.23461845009371</v>
      </c>
      <c r="R50">
        <v>3.5563308202805</v>
      </c>
      <c r="S50">
        <v>3.0842857071861762</v>
      </c>
      <c r="T50">
        <v>2.9339413777634156</v>
      </c>
    </row>
    <row r="51" spans="11:20" ht="12.75">
      <c r="K51">
        <v>0.6</v>
      </c>
      <c r="L51">
        <v>670.8147204489611</v>
      </c>
      <c r="M51">
        <v>112.37701880715242</v>
      </c>
      <c r="N51">
        <v>25.49339436498816</v>
      </c>
      <c r="O51">
        <v>13.52198321885085</v>
      </c>
      <c r="P51">
        <v>9.405154978150291</v>
      </c>
      <c r="Q51">
        <v>7.245188893533714</v>
      </c>
      <c r="R51">
        <v>5.969236488999992</v>
      </c>
      <c r="S51">
        <v>5.084696573565072</v>
      </c>
      <c r="T51">
        <v>4.804168748746993</v>
      </c>
    </row>
    <row r="52" spans="11:20" ht="12.75">
      <c r="K52">
        <v>0.8</v>
      </c>
      <c r="L52">
        <v>875.2441563505192</v>
      </c>
      <c r="M52">
        <v>146.3711257249989</v>
      </c>
      <c r="N52">
        <v>32.998587823530976</v>
      </c>
      <c r="O52">
        <v>17.37766687884698</v>
      </c>
      <c r="P52">
        <v>12.006655063969484</v>
      </c>
      <c r="Q52">
        <v>9.19102261388097</v>
      </c>
      <c r="R52">
        <v>7.53131396697689</v>
      </c>
      <c r="S52">
        <v>6.385775821172809</v>
      </c>
      <c r="T52">
        <v>6.024389274265155</v>
      </c>
    </row>
    <row r="53" spans="11:20" ht="12.75">
      <c r="K53">
        <v>1</v>
      </c>
      <c r="L53">
        <v>1078.0896050198082</v>
      </c>
      <c r="M53">
        <v>180.06197040572937</v>
      </c>
      <c r="N53">
        <v>40.42083911763902</v>
      </c>
      <c r="O53">
        <v>21.183759071501772</v>
      </c>
      <c r="P53">
        <v>14.570662838274316</v>
      </c>
      <c r="Q53">
        <v>11.106313557096273</v>
      </c>
      <c r="R53">
        <v>9.067995344896591</v>
      </c>
      <c r="S53">
        <v>7.667059217225127</v>
      </c>
      <c r="T53">
        <v>7.227596543699206</v>
      </c>
    </row>
    <row r="82" ht="12.75">
      <c r="Q82" t="s">
        <v>146</v>
      </c>
    </row>
    <row r="84" spans="19:20" ht="12.75">
      <c r="S84">
        <f>(1.4*8314*(D19+273.15)/D21)^0.5</f>
        <v>489.49872266307614</v>
      </c>
      <c r="T84" t="s">
        <v>12</v>
      </c>
    </row>
    <row r="87" spans="17:21" ht="12.75">
      <c r="Q87" t="s">
        <v>206</v>
      </c>
      <c r="S87">
        <f>D16</f>
        <v>1.9634954084936207E-05</v>
      </c>
      <c r="T87" t="s">
        <v>101</v>
      </c>
      <c r="U87" s="2"/>
    </row>
    <row r="88" spans="12:17" ht="12.75">
      <c r="L88" t="s">
        <v>137</v>
      </c>
      <c r="Q88" t="s">
        <v>145</v>
      </c>
    </row>
    <row r="89" spans="11:20" ht="12.75">
      <c r="K89" t="s">
        <v>94</v>
      </c>
      <c r="L89">
        <v>339</v>
      </c>
      <c r="M89">
        <v>1356</v>
      </c>
      <c r="N89">
        <v>5424</v>
      </c>
      <c r="O89" t="s">
        <v>139</v>
      </c>
      <c r="P89" t="s">
        <v>5</v>
      </c>
      <c r="Q89">
        <v>339</v>
      </c>
      <c r="R89">
        <v>1356</v>
      </c>
      <c r="S89">
        <v>5424</v>
      </c>
      <c r="T89" t="s">
        <v>111</v>
      </c>
    </row>
    <row r="90" spans="11:22" ht="12.75">
      <c r="K90">
        <v>0</v>
      </c>
      <c r="L90">
        <v>1</v>
      </c>
      <c r="M90">
        <v>1</v>
      </c>
      <c r="N90">
        <v>1</v>
      </c>
      <c r="P90" s="50">
        <f>(K90/$E$22+(1-K90)/$D$22)^(-1)</f>
        <v>998.6585794268196</v>
      </c>
      <c r="Q90" s="13">
        <f>Q$89/$P90</f>
        <v>0.33945535239337665</v>
      </c>
      <c r="R90" s="13">
        <f>R$89/$P90</f>
        <v>1.3578214095735066</v>
      </c>
      <c r="S90" s="13">
        <f>S$89/$P90</f>
        <v>5.431285638294026</v>
      </c>
      <c r="V90" s="13"/>
    </row>
    <row r="91" spans="11:22" ht="12.75">
      <c r="K91">
        <v>0.1</v>
      </c>
      <c r="L91">
        <v>21.653425094591636</v>
      </c>
      <c r="M91">
        <v>22.97164511498567</v>
      </c>
      <c r="N91">
        <v>24.522143856259895</v>
      </c>
      <c r="P91" s="50">
        <f aca="true" t="shared" si="0" ref="P91:P100">(K91/$E$22+(1-K91)/$D$22)^(-1)</f>
        <v>5.869732107640707</v>
      </c>
      <c r="Q91" s="13">
        <f aca="true" t="shared" si="1" ref="Q91:S100">Q$89/$P91</f>
        <v>57.753913429663896</v>
      </c>
      <c r="R91" s="13">
        <f t="shared" si="1"/>
        <v>231.01565371865559</v>
      </c>
      <c r="S91" s="13">
        <f t="shared" si="1"/>
        <v>924.0626148746223</v>
      </c>
      <c r="T91" t="s">
        <v>147</v>
      </c>
      <c r="V91" s="13"/>
    </row>
    <row r="92" spans="11:22" ht="12.75">
      <c r="K92">
        <v>0.2</v>
      </c>
      <c r="L92">
        <v>38.38506948752744</v>
      </c>
      <c r="M92">
        <v>42.057764238853416</v>
      </c>
      <c r="N92">
        <v>46.419290458069455</v>
      </c>
      <c r="P92" s="50">
        <f>(K92/$E$22+(1-K92)/$D$22)^(-1)</f>
        <v>2.9435164842943746</v>
      </c>
      <c r="Q92" s="13">
        <f t="shared" si="1"/>
        <v>115.1683715069344</v>
      </c>
      <c r="R92" s="13">
        <f t="shared" si="1"/>
        <v>460.6734860277376</v>
      </c>
      <c r="S92" s="13">
        <f t="shared" si="1"/>
        <v>1842.6939441109505</v>
      </c>
      <c r="T92" t="s">
        <v>148</v>
      </c>
      <c r="V92" s="13"/>
    </row>
    <row r="93" spans="11:22" ht="12.75">
      <c r="K93">
        <v>0.3</v>
      </c>
      <c r="L93">
        <v>53.6973728253714</v>
      </c>
      <c r="M93">
        <v>60.18602161110582</v>
      </c>
      <c r="N93">
        <v>67.86402318451015</v>
      </c>
      <c r="P93" s="50">
        <f t="shared" si="0"/>
        <v>1.9642742028087936</v>
      </c>
      <c r="Q93" s="13">
        <f t="shared" si="1"/>
        <v>172.58282958420492</v>
      </c>
      <c r="R93" s="13">
        <f t="shared" si="1"/>
        <v>690.3313183368197</v>
      </c>
      <c r="S93" s="13">
        <f t="shared" si="1"/>
        <v>2761.3252733472787</v>
      </c>
      <c r="V93" s="13"/>
    </row>
    <row r="94" spans="11:22" ht="12.75">
      <c r="K94">
        <v>0.4</v>
      </c>
      <c r="L94">
        <v>68.23836666208928</v>
      </c>
      <c r="M94">
        <v>77.8353813783958</v>
      </c>
      <c r="N94">
        <v>89.10719940476352</v>
      </c>
      <c r="P94" s="50">
        <f t="shared" si="0"/>
        <v>1.4739304252098906</v>
      </c>
      <c r="Q94" s="13">
        <f t="shared" si="1"/>
        <v>229.99728766147544</v>
      </c>
      <c r="R94" s="13">
        <f t="shared" si="1"/>
        <v>919.9891506459018</v>
      </c>
      <c r="S94" s="13">
        <f t="shared" si="1"/>
        <v>3679.956602583607</v>
      </c>
      <c r="V94" s="13"/>
    </row>
    <row r="95" spans="11:22" ht="12.75">
      <c r="K95">
        <v>0.5</v>
      </c>
      <c r="L95">
        <v>82.28544802072449</v>
      </c>
      <c r="M95">
        <v>95.19986265433025</v>
      </c>
      <c r="N95">
        <v>110.23990608797482</v>
      </c>
      <c r="P95" s="50">
        <f t="shared" si="0"/>
        <v>1.1794925051815635</v>
      </c>
      <c r="Q95" s="13">
        <f t="shared" si="1"/>
        <v>287.41174573874594</v>
      </c>
      <c r="R95" s="13">
        <f t="shared" si="1"/>
        <v>1149.6469829549837</v>
      </c>
      <c r="S95" s="13">
        <f t="shared" si="1"/>
        <v>4598.587931819935</v>
      </c>
      <c r="V95" s="13"/>
    </row>
    <row r="96" spans="11:22" ht="12.75">
      <c r="K96">
        <v>0.6</v>
      </c>
      <c r="L96">
        <v>95.98612790671255</v>
      </c>
      <c r="M96">
        <v>112.37701880715242</v>
      </c>
      <c r="N96">
        <v>131.3042622005218</v>
      </c>
      <c r="P96" s="50">
        <f t="shared" si="0"/>
        <v>0.9831039411983753</v>
      </c>
      <c r="Q96" s="13">
        <f t="shared" si="1"/>
        <v>344.82620381601646</v>
      </c>
      <c r="R96" s="13">
        <f t="shared" si="1"/>
        <v>1379.3048152640658</v>
      </c>
      <c r="S96" s="13">
        <f t="shared" si="1"/>
        <v>5517.219261056263</v>
      </c>
      <c r="V96" s="13"/>
    </row>
    <row r="97" spans="11:22" ht="12.75">
      <c r="K97">
        <v>0.7</v>
      </c>
      <c r="L97">
        <v>109.42928049951706</v>
      </c>
      <c r="M97">
        <v>129.42255838920073</v>
      </c>
      <c r="N97">
        <v>152.32278300275865</v>
      </c>
      <c r="P97" s="50">
        <f t="shared" si="0"/>
        <v>0.8427790427859219</v>
      </c>
      <c r="Q97" s="13">
        <f t="shared" si="1"/>
        <v>402.2406618932869</v>
      </c>
      <c r="R97" s="13">
        <f t="shared" si="1"/>
        <v>1608.9626475731477</v>
      </c>
      <c r="S97" s="13">
        <f t="shared" si="1"/>
        <v>6435.850590292591</v>
      </c>
      <c r="V97" s="13"/>
    </row>
    <row r="98" spans="11:22" ht="12.75">
      <c r="K98">
        <v>0.8</v>
      </c>
      <c r="L98">
        <v>122.67301809047827</v>
      </c>
      <c r="M98">
        <v>146.3711257249989</v>
      </c>
      <c r="N98">
        <v>173.3087449540463</v>
      </c>
      <c r="P98" s="50">
        <f t="shared" si="0"/>
        <v>0.7375094614886789</v>
      </c>
      <c r="Q98" s="13">
        <f t="shared" si="1"/>
        <v>459.65511997055756</v>
      </c>
      <c r="R98" s="13">
        <f t="shared" si="1"/>
        <v>1838.6204798822303</v>
      </c>
      <c r="S98" s="13">
        <f t="shared" si="1"/>
        <v>7354.481919528921</v>
      </c>
      <c r="V98" s="13"/>
    </row>
    <row r="99" spans="11:22" ht="12.75">
      <c r="K99">
        <v>0.9</v>
      </c>
      <c r="L99">
        <v>135.75760734685326</v>
      </c>
      <c r="M99">
        <v>163.24563524639888</v>
      </c>
      <c r="N99">
        <v>194.27055487659513</v>
      </c>
      <c r="P99" s="50">
        <f t="shared" si="0"/>
        <v>0.6556177628548147</v>
      </c>
      <c r="Q99" s="13">
        <f t="shared" si="1"/>
        <v>517.069578047828</v>
      </c>
      <c r="R99" s="13">
        <f t="shared" si="1"/>
        <v>2068.278312191312</v>
      </c>
      <c r="S99" s="13">
        <f t="shared" si="1"/>
        <v>8273.113248765248</v>
      </c>
      <c r="V99" s="13"/>
    </row>
    <row r="100" spans="11:22" ht="12.75">
      <c r="K100">
        <v>1</v>
      </c>
      <c r="L100">
        <v>148.71218525355545</v>
      </c>
      <c r="M100">
        <v>180.06197040572937</v>
      </c>
      <c r="N100">
        <v>215.21383299032053</v>
      </c>
      <c r="P100" s="50">
        <f t="shared" si="0"/>
        <v>0.5900947261938886</v>
      </c>
      <c r="Q100" s="13">
        <f t="shared" si="1"/>
        <v>574.4840361250986</v>
      </c>
      <c r="R100" s="13">
        <f t="shared" si="1"/>
        <v>2297.936144500394</v>
      </c>
      <c r="S100" s="13">
        <f t="shared" si="1"/>
        <v>9191.744578001577</v>
      </c>
      <c r="V100" s="13"/>
    </row>
    <row r="101" spans="16:22" ht="12.75">
      <c r="P101" s="50"/>
      <c r="Q101" s="13"/>
      <c r="R101" s="13"/>
      <c r="S101" s="13"/>
      <c r="V101" s="13"/>
    </row>
    <row r="102" spans="16:22" ht="12.75">
      <c r="P102" s="50"/>
      <c r="Q102" s="13"/>
      <c r="R102" s="13"/>
      <c r="S102" s="13"/>
      <c r="V102" s="13"/>
    </row>
    <row r="103" spans="16:22" ht="12.75">
      <c r="P103" s="50"/>
      <c r="Q103" s="13"/>
      <c r="R103" s="13"/>
      <c r="S103" s="13"/>
      <c r="V103" s="13"/>
    </row>
    <row r="104" spans="16:22" ht="12.75">
      <c r="P104" s="50"/>
      <c r="Q104" s="13"/>
      <c r="R104" s="13"/>
      <c r="S104" s="13"/>
      <c r="V104" s="13"/>
    </row>
    <row r="105" spans="16:22" ht="12.75">
      <c r="P105" s="50"/>
      <c r="Q105" s="13"/>
      <c r="R105" s="13"/>
      <c r="S105" s="13"/>
      <c r="V105" s="13"/>
    </row>
    <row r="106" spans="16:22" ht="12.75">
      <c r="P106" s="50"/>
      <c r="Q106" s="13"/>
      <c r="R106" s="13"/>
      <c r="S106" s="13"/>
      <c r="V106" s="13"/>
    </row>
    <row r="107" spans="16:22" ht="12.75">
      <c r="P107" s="50"/>
      <c r="Q107" s="13"/>
      <c r="R107" s="13"/>
      <c r="S107" s="13"/>
      <c r="V107" s="13"/>
    </row>
    <row r="108" spans="16:22" ht="12.75">
      <c r="P108" s="50"/>
      <c r="Q108" s="13"/>
      <c r="R108" s="13"/>
      <c r="S108" s="13"/>
      <c r="V108" s="13"/>
    </row>
    <row r="109" spans="16:22" ht="12.75">
      <c r="P109" s="50"/>
      <c r="Q109" s="13"/>
      <c r="R109" s="13"/>
      <c r="S109" s="13"/>
      <c r="V109" s="13"/>
    </row>
    <row r="110" spans="16:22" ht="12.75">
      <c r="P110" s="50"/>
      <c r="Q110" s="13"/>
      <c r="R110" s="13"/>
      <c r="S110" s="13"/>
      <c r="V110" s="13"/>
    </row>
    <row r="111" spans="16:22" ht="12.75">
      <c r="P111" s="50"/>
      <c r="Q111" s="13"/>
      <c r="R111" s="13"/>
      <c r="S111" s="13"/>
      <c r="V111" s="13"/>
    </row>
    <row r="112" spans="16:22" ht="12.75">
      <c r="P112" s="50"/>
      <c r="Q112" s="13"/>
      <c r="R112" s="13"/>
      <c r="S112" s="13"/>
      <c r="V112" s="13"/>
    </row>
    <row r="113" spans="16:22" ht="12.75">
      <c r="P113" s="50"/>
      <c r="Q113" s="13"/>
      <c r="R113" s="13"/>
      <c r="S113" s="13"/>
      <c r="V113" s="13"/>
    </row>
    <row r="114" spans="16:22" ht="12.75">
      <c r="P114" s="50"/>
      <c r="Q114" s="13"/>
      <c r="R114" s="13"/>
      <c r="S114" s="13"/>
      <c r="V114" s="13"/>
    </row>
    <row r="115" spans="16:22" ht="12.75">
      <c r="P115" s="50"/>
      <c r="Q115" s="13"/>
      <c r="R115" s="13"/>
      <c r="S115" s="13"/>
      <c r="V115" s="13"/>
    </row>
    <row r="116" spans="16:22" ht="12.75">
      <c r="P116" s="50"/>
      <c r="Q116" s="13"/>
      <c r="R116" s="13"/>
      <c r="S116" s="13"/>
      <c r="V116" s="13"/>
    </row>
    <row r="117" spans="16:22" ht="12.75">
      <c r="P117" s="50"/>
      <c r="Q117" s="13"/>
      <c r="R117" s="13"/>
      <c r="S117" s="13"/>
      <c r="V117" s="13"/>
    </row>
    <row r="118" spans="16:22" ht="12.75">
      <c r="P118" s="50"/>
      <c r="Q118" s="13"/>
      <c r="R118" s="13"/>
      <c r="S118" s="13"/>
      <c r="V118" s="13"/>
    </row>
    <row r="119" spans="16:22" ht="12.75">
      <c r="P119" s="50"/>
      <c r="Q119" s="13"/>
      <c r="R119" s="13"/>
      <c r="S119" s="13"/>
      <c r="V119" s="13"/>
    </row>
    <row r="120" spans="16:22" ht="12.75">
      <c r="P120" s="50"/>
      <c r="Q120" s="13"/>
      <c r="R120" s="13"/>
      <c r="S120" s="13"/>
      <c r="V120" s="13"/>
    </row>
    <row r="121" spans="16:22" ht="12.75">
      <c r="P121" s="50"/>
      <c r="Q121" s="13"/>
      <c r="R121" s="13"/>
      <c r="S121" s="13"/>
      <c r="V121" s="13"/>
    </row>
    <row r="122" spans="16:22" ht="12.75">
      <c r="P122" s="50"/>
      <c r="Q122" s="13"/>
      <c r="R122" s="13"/>
      <c r="S122" s="13"/>
      <c r="V122" s="13"/>
    </row>
    <row r="123" spans="16:22" ht="12.75">
      <c r="P123" s="50"/>
      <c r="Q123" s="13"/>
      <c r="R123" s="13"/>
      <c r="S123" s="13"/>
      <c r="V123" s="13"/>
    </row>
    <row r="125" ht="12.75">
      <c r="L125" t="s">
        <v>137</v>
      </c>
    </row>
    <row r="126" spans="11:13" ht="12.75">
      <c r="K126" t="s">
        <v>94</v>
      </c>
      <c r="L126">
        <v>2278</v>
      </c>
      <c r="M126" t="s">
        <v>139</v>
      </c>
    </row>
    <row r="127" spans="11:13" ht="12.75">
      <c r="K127">
        <v>0</v>
      </c>
      <c r="L127">
        <v>1</v>
      </c>
      <c r="M127">
        <v>1</v>
      </c>
    </row>
    <row r="128" spans="11:13" ht="12.75">
      <c r="K128">
        <v>0.1</v>
      </c>
      <c r="L128">
        <v>3.22501956554337</v>
      </c>
      <c r="M128">
        <v>3</v>
      </c>
    </row>
    <row r="129" spans="11:13" ht="12.75">
      <c r="K129">
        <v>0.2</v>
      </c>
      <c r="L129">
        <v>5.336625127628934</v>
      </c>
      <c r="M129">
        <v>5.5</v>
      </c>
    </row>
    <row r="130" spans="11:13" ht="12.75">
      <c r="K130">
        <v>0.3</v>
      </c>
      <c r="L130">
        <v>7.386603283397883</v>
      </c>
      <c r="M130">
        <v>7</v>
      </c>
    </row>
    <row r="131" spans="11:13" ht="12.75">
      <c r="K131">
        <v>0.4</v>
      </c>
      <c r="L131">
        <v>9.398360895943807</v>
      </c>
      <c r="M131">
        <v>8</v>
      </c>
    </row>
    <row r="132" spans="11:13" ht="12.75">
      <c r="K132">
        <v>0.5</v>
      </c>
      <c r="L132">
        <v>11.384366361248881</v>
      </c>
      <c r="M132">
        <v>9.5</v>
      </c>
    </row>
    <row r="133" spans="11:13" ht="12.75">
      <c r="K133">
        <v>0.6</v>
      </c>
      <c r="L133">
        <v>13.351996190077541</v>
      </c>
      <c r="M133">
        <v>11.5</v>
      </c>
    </row>
    <row r="134" spans="11:12" ht="12.75">
      <c r="K134">
        <v>0.7</v>
      </c>
      <c r="L134">
        <v>15.305947405100593</v>
      </c>
    </row>
    <row r="135" spans="11:12" ht="12.75">
      <c r="K135">
        <v>0.8</v>
      </c>
      <c r="L135">
        <v>17.24937895156287</v>
      </c>
    </row>
    <row r="136" spans="11:12" ht="12.75">
      <c r="K136">
        <v>0.9</v>
      </c>
      <c r="L136">
        <v>19.18450739723826</v>
      </c>
    </row>
    <row r="137" spans="11:12" ht="12.75">
      <c r="K137">
        <v>1</v>
      </c>
      <c r="L137">
        <v>21.112941761001483</v>
      </c>
    </row>
    <row r="166" spans="2:4" ht="12.75">
      <c r="B166" s="57" t="s">
        <v>102</v>
      </c>
      <c r="D166" t="s">
        <v>103</v>
      </c>
    </row>
    <row r="167" spans="4:18" ht="12.75">
      <c r="D167" s="58" t="s">
        <v>104</v>
      </c>
      <c r="E167" s="59"/>
      <c r="F167" s="60"/>
      <c r="G167" s="61" t="s">
        <v>118</v>
      </c>
      <c r="H167" s="62"/>
      <c r="I167" s="63"/>
      <c r="J167" s="58" t="s">
        <v>117</v>
      </c>
      <c r="K167" s="92"/>
      <c r="L167" s="92"/>
      <c r="M167" s="61" t="s">
        <v>105</v>
      </c>
      <c r="N167" s="64"/>
      <c r="O167" s="58" t="s">
        <v>106</v>
      </c>
      <c r="P167" s="60"/>
      <c r="Q167" s="93" t="s">
        <v>119</v>
      </c>
      <c r="R167" s="96" t="s">
        <v>4</v>
      </c>
    </row>
    <row r="168" spans="4:18" ht="12.75">
      <c r="D168" s="65" t="s">
        <v>99</v>
      </c>
      <c r="E168" s="17" t="s">
        <v>100</v>
      </c>
      <c r="F168" s="66" t="s">
        <v>26</v>
      </c>
      <c r="G168" s="67" t="s">
        <v>99</v>
      </c>
      <c r="H168" s="22" t="s">
        <v>100</v>
      </c>
      <c r="I168" s="68" t="s">
        <v>26</v>
      </c>
      <c r="J168" s="17"/>
      <c r="K168" s="17"/>
      <c r="L168" s="17"/>
      <c r="M168" s="67" t="s">
        <v>10</v>
      </c>
      <c r="N168" s="68" t="s">
        <v>92</v>
      </c>
      <c r="O168" s="65" t="s">
        <v>10</v>
      </c>
      <c r="P168" s="66" t="s">
        <v>92</v>
      </c>
      <c r="Q168" s="94" t="s">
        <v>120</v>
      </c>
      <c r="R168" s="97"/>
    </row>
    <row r="169" spans="2:18" ht="12.75">
      <c r="B169" t="s">
        <v>98</v>
      </c>
      <c r="D169" s="69">
        <v>6.98679249947656</v>
      </c>
      <c r="E169" s="70">
        <v>918.1682577797676</v>
      </c>
      <c r="F169" s="71">
        <v>253.38403731432368</v>
      </c>
      <c r="G169" s="72">
        <v>-8.766071949621287</v>
      </c>
      <c r="H169" s="73">
        <v>5134.255857735576</v>
      </c>
      <c r="I169" s="74">
        <v>693.0129669361127</v>
      </c>
      <c r="J169" s="70">
        <v>-9.000660812105487</v>
      </c>
      <c r="K169" s="70">
        <v>-4611.860946596257</v>
      </c>
      <c r="L169" s="70">
        <v>-1008.8663369827995</v>
      </c>
      <c r="M169" s="77">
        <v>-3.0886153833600023</v>
      </c>
      <c r="N169" s="78">
        <v>1393.4014108709334</v>
      </c>
      <c r="O169" s="75">
        <v>-0.19281600000000004</v>
      </c>
      <c r="P169" s="76">
        <v>86.98722666666667</v>
      </c>
      <c r="Q169" s="95">
        <v>120.91</v>
      </c>
      <c r="R169" s="146">
        <v>1.17</v>
      </c>
    </row>
    <row r="170" spans="2:18" ht="12.75">
      <c r="B170" t="s">
        <v>108</v>
      </c>
      <c r="D170" s="69">
        <v>7.040037177803664</v>
      </c>
      <c r="E170" s="70">
        <v>850.0969273139809</v>
      </c>
      <c r="F170" s="71">
        <v>245.17676263314735</v>
      </c>
      <c r="G170" s="72">
        <v>20.786462252493244</v>
      </c>
      <c r="H170" s="73">
        <v>46143.49067012315</v>
      </c>
      <c r="I170" s="74">
        <v>-2064.891759209195</v>
      </c>
      <c r="J170" s="70">
        <v>-3.4660000465265957</v>
      </c>
      <c r="K170" s="70">
        <v>-278.7438937251103</v>
      </c>
      <c r="L170" s="70">
        <v>286.65573875289084</v>
      </c>
      <c r="M170" s="72">
        <v>-3.196600804794535</v>
      </c>
      <c r="N170" s="74">
        <v>1279.325435041413</v>
      </c>
      <c r="O170" s="69">
        <v>-0.19955731105203195</v>
      </c>
      <c r="P170" s="71">
        <v>79.86569464489176</v>
      </c>
      <c r="Q170" s="95">
        <v>86.48</v>
      </c>
      <c r="R170" s="146">
        <v>1.25</v>
      </c>
    </row>
    <row r="171" spans="2:18" ht="12.75">
      <c r="B171" t="s">
        <v>107</v>
      </c>
      <c r="D171" s="69">
        <v>8.30503962690467</v>
      </c>
      <c r="E171" s="70">
        <v>1986.496291322776</v>
      </c>
      <c r="F171" s="71">
        <v>268.74038855098655</v>
      </c>
      <c r="G171" s="72">
        <v>4.344761245207633</v>
      </c>
      <c r="H171" s="79">
        <v>6927.315754126981</v>
      </c>
      <c r="I171" s="74">
        <v>-1332.3323626123708</v>
      </c>
      <c r="J171" s="70">
        <v>-4.919198027218318</v>
      </c>
      <c r="K171" s="70">
        <v>-200.48733627160277</v>
      </c>
      <c r="L171" s="70">
        <v>-502.5731477255687</v>
      </c>
      <c r="M171" s="72">
        <v>-1.5583011065674495</v>
      </c>
      <c r="N171" s="74">
        <v>1150.4248185354957</v>
      </c>
      <c r="O171" s="69">
        <v>-0.05608130534853337</v>
      </c>
      <c r="P171" s="71">
        <v>64.2378453786336</v>
      </c>
      <c r="Q171" s="95">
        <v>18</v>
      </c>
      <c r="R171" s="146">
        <v>1.31</v>
      </c>
    </row>
    <row r="172" spans="4:18" ht="12.75">
      <c r="D172" s="80"/>
      <c r="E172" s="81"/>
      <c r="F172" s="82"/>
      <c r="G172" s="83"/>
      <c r="H172" s="84"/>
      <c r="I172" s="85"/>
      <c r="J172" s="81"/>
      <c r="K172" s="81"/>
      <c r="L172" s="81"/>
      <c r="M172" s="83"/>
      <c r="N172" s="85"/>
      <c r="O172" s="80"/>
      <c r="P172" s="82"/>
      <c r="Q172" s="148"/>
      <c r="R172" s="146"/>
    </row>
    <row r="173" spans="4:18" ht="12.75">
      <c r="D173" s="86"/>
      <c r="E173" s="87"/>
      <c r="F173" s="88"/>
      <c r="G173" s="89"/>
      <c r="H173" s="90"/>
      <c r="I173" s="91"/>
      <c r="J173" s="87"/>
      <c r="K173" s="87"/>
      <c r="L173" s="87"/>
      <c r="M173" s="89"/>
      <c r="N173" s="91"/>
      <c r="O173" s="86"/>
      <c r="P173" s="88"/>
      <c r="Q173" s="149"/>
      <c r="R173" s="147"/>
    </row>
    <row r="174" ht="12.75">
      <c r="R174" s="56"/>
    </row>
  </sheetData>
  <sheetProtection/>
  <printOptions/>
  <pageMargins left="0.75" right="0.75" top="1" bottom="1" header="0.5" footer="0.5"/>
  <pageSetup horizontalDpi="600" verticalDpi="600" orientation="portrait" r:id="rId4"/>
  <drawing r:id="rId3"/>
  <legacyDrawing r:id="rId2"/>
  <oleObjects>
    <oleObject progId="Equation.3" shapeId="92936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Fluid Flow</dc:title>
  <dc:subject/>
  <dc:creator>Stephen M Hall</dc:creator>
  <cp:keywords/>
  <dc:description>Chapter 1
Rules of Thumb for Chemical Engineers</dc:description>
  <cp:lastModifiedBy>Stephen Hall</cp:lastModifiedBy>
  <cp:lastPrinted>2010-08-04T13:04:52Z</cp:lastPrinted>
  <dcterms:created xsi:type="dcterms:W3CDTF">2010-07-09T21:44:52Z</dcterms:created>
  <dcterms:modified xsi:type="dcterms:W3CDTF">2012-03-12T13:26:39Z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