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765" windowWidth="11940" windowHeight="11640" tabRatio="634" activeTab="0"/>
  </bookViews>
  <sheets>
    <sheet name="Home" sheetId="1" r:id="rId1"/>
    <sheet name="Process Fluids" sheetId="2" r:id="rId2"/>
    <sheet name="Process Data" sheetId="3" r:id="rId3"/>
    <sheet name="Tubes Pressure Drop" sheetId="4" r:id="rId4"/>
    <sheet name="F Factor" sheetId="5" r:id="rId5"/>
    <sheet name="Tubes htc" sheetId="6" r:id="rId6"/>
    <sheet name="Shell Geometry" sheetId="7" r:id="rId7"/>
    <sheet name="Shell htc" sheetId="8" r:id="rId8"/>
    <sheet name="Shell Pressure Drop" sheetId="9" r:id="rId9"/>
    <sheet name="Overall U" sheetId="10" r:id="rId10"/>
    <sheet name="Nozzles" sheetId="11" r:id="rId11"/>
    <sheet name="Weight" sheetId="12" r:id="rId12"/>
    <sheet name="Shell-and-Tube" sheetId="13" r:id="rId13"/>
    <sheet name="Conversions" sheetId="14" r:id="rId14"/>
    <sheet name="Fluid Data" sheetId="15" r:id="rId15"/>
    <sheet name="Yaws Data" sheetId="16" r:id="rId16"/>
  </sheets>
  <definedNames>
    <definedName name="A_Outside">'Tubes Pressure Drop'!$D$37</definedName>
    <definedName name="baffle_diameter">'Shell Geometry'!$D$12</definedName>
    <definedName name="BaffleCut">'Shell Geometry'!$D$10</definedName>
    <definedName name="BaffleHoleClearance">'Shell htc'!$D$8</definedName>
    <definedName name="BaffleSpacing">'Shell Geometry'!$D$11</definedName>
    <definedName name="BaffleThickness">'Weight'!$D$8</definedName>
    <definedName name="BWG">'Conversions'!$B$55:$C$78</definedName>
    <definedName name="ColdComp">'Process Fluids'!$B$31</definedName>
    <definedName name="ColumnA">'Fluid Data'!$A$54</definedName>
    <definedName name="ColumnB">'Fluid Data'!$G$54</definedName>
    <definedName name="DataInput">'Fluid Data'!$D$21</definedName>
    <definedName name="Density">'Yaws Data'!$I$9</definedName>
    <definedName name="Ffactor">'F Factor'!$D$39</definedName>
    <definedName name="Ffactor2PassShell">'F Factor'!$D$37</definedName>
    <definedName name="FlName">'Yaws Data'!$A$9</definedName>
    <definedName name="Fluid_Data">'Fluid Data'!$F$11</definedName>
    <definedName name="Fluid_names">'Conversions'!$A$34:$A$35</definedName>
    <definedName name="FluidData">'Fluid Data'!$A$68:$W$200</definedName>
    <definedName name="FluidEntry">'Process Fluids'!$D$12</definedName>
    <definedName name="Fluids">'Fluid Data'!$A$60:$A$200</definedName>
    <definedName name="FoulingShell">'Overall U'!$D$15</definedName>
    <definedName name="FoulingTubes">'Overall U'!$D$14</definedName>
    <definedName name="FP">'F Factor'!$D$22</definedName>
    <definedName name="FR">'F Factor'!$D$21</definedName>
    <definedName name="FS">'F Factor'!$D$23</definedName>
    <definedName name="FW">'F Factor'!$D$24</definedName>
    <definedName name="FWA">'F Factor'!$D$25</definedName>
    <definedName name="GaugeMax">'Conversions'!$G$50</definedName>
    <definedName name="GaugeMin">'Conversions'!$G$49</definedName>
    <definedName name="h_inside">'Tubes htc'!$D$44</definedName>
    <definedName name="h_outside">'Shell htc'!$H$51</definedName>
    <definedName name="HC">'Yaws Data'!$C$9</definedName>
    <definedName name="HeatBalance">'Process Data'!$S$22</definedName>
    <definedName name="HighlightDetails">'Conversions'!$F$34</definedName>
    <definedName name="HighlightGeneral">'Conversions'!$F$35</definedName>
    <definedName name="HighlightInputs">'Conversions'!$F$32</definedName>
    <definedName name="HighlightResults">'Conversions'!$F$33</definedName>
    <definedName name="HotComp">'Process Fluids'!$B$19</definedName>
    <definedName name="HTF_properties">'Fluid Data'!$A$60:$BJ$200</definedName>
    <definedName name="htfhome">'Fluid Data'!$A$59</definedName>
    <definedName name="htfnew">'Fluid Data'!$AI$10</definedName>
    <definedName name="htfunits_heat">'Fluid Data'!$AI$6</definedName>
    <definedName name="htfunits_HtVap">'Fluid Data'!$AI$9</definedName>
    <definedName name="htfunits_sg">'Fluid Data'!$AI$5</definedName>
    <definedName name="htfunits_tc">'Fluid Data'!$AI$7</definedName>
    <definedName name="htfunits_temp">'Fluid Data'!$AI$4</definedName>
    <definedName name="htfunits_viscosity">'Fluid Data'!$AI$8</definedName>
    <definedName name="ji_30">'Conversions'!$C$130:$K$134</definedName>
    <definedName name="ji_45">'Conversions'!$C$135:$K$139</definedName>
    <definedName name="ji_60">'Conversions'!$C$140:$K$144</definedName>
    <definedName name="ji_90">'Conversions'!$C$145:$K$149</definedName>
    <definedName name="lc">'Shell htc'!$D$54</definedName>
    <definedName name="MaxSpan">'Shell Geometry'!$D$31</definedName>
    <definedName name="Mbp">'Yaws Data'!$AJ$9</definedName>
    <definedName name="Mfp">'Yaws Data'!$AI$9</definedName>
    <definedName name="Mhv">'Yaws Data'!$AH$9</definedName>
    <definedName name="MMW">'Yaws Data'!$U$9</definedName>
    <definedName name="MTD">'Tubes Pressure Drop'!$D$31</definedName>
    <definedName name="MW">'Fluid Data'!$J$16</definedName>
    <definedName name="new_properties">'Fluid Data'!$A$54:$BJ$54</definedName>
    <definedName name="NoShell">'Shell Geometry'!$D$7</definedName>
    <definedName name="Notubes">'Tubes Pressure Drop'!$D$35</definedName>
    <definedName name="NozzleData">'Conversions'!$C$172:$K$185</definedName>
    <definedName name="Nozzles">'Conversions'!$B$173:$C$185</definedName>
    <definedName name="Nrcc">'Shell htc'!$D$100</definedName>
    <definedName name="Nrtw">'Shell Pressure Drop'!$D$17</definedName>
    <definedName name="Nss">'Shell Geometry'!$D$13</definedName>
    <definedName name="Ntw">'Shell htc'!$D$69</definedName>
    <definedName name="NumberBaffles">'Shell Geometry'!$D$33</definedName>
    <definedName name="oldunits">'Conversions'!$C$32</definedName>
    <definedName name="Pitch_Spacing">'Conversions'!$B$85:$D$88</definedName>
    <definedName name="PitchLayouts">'Conversions'!$B$85:$B$88</definedName>
    <definedName name="Press1">'Fluid Data'!$D$195</definedName>
    <definedName name="Press2">'Fluid Data'!$D$196</definedName>
    <definedName name="Press3">'Fluid Data'!$D$197</definedName>
    <definedName name="_xlnm.Print_Area" localSheetId="12">'Shell-and-Tube'!$B$7:$N$67</definedName>
    <definedName name="PropsUnits_temperature">'Fluid Data'!$AO$4</definedName>
    <definedName name="PropUnits_fluid">'Fluid Data'!$AO$10</definedName>
    <definedName name="PropUnits_heat">'Fluid Data'!$AO$6</definedName>
    <definedName name="PropUnits_sg">'Fluid Data'!$AO$5</definedName>
    <definedName name="PropUnits_tc">'Fluid Data'!$AO$7</definedName>
    <definedName name="PropUnits_viscosity">'Fluid Data'!$AO$8</definedName>
    <definedName name="Q_SI">'Process Data'!$U$20</definedName>
    <definedName name="Q_US">'Process Data'!$S$20</definedName>
    <definedName name="RawData">'Fluid Data'!$AC$56</definedName>
    <definedName name="RawDataSource">'Fluid Data'!$K$21</definedName>
    <definedName name="rhov2_bundleIn">'Nozzles'!$D$44</definedName>
    <definedName name="rhov2_bundleOut">'Nozzles'!$D$51</definedName>
    <definedName name="rhov2_TS">'Nozzles'!$D$28</definedName>
    <definedName name="RR">'Yaws Data'!$D$33</definedName>
    <definedName name="Shell_ID">'Shell Geometry'!$D$8</definedName>
    <definedName name="ShellPasses">'Tubes Pressure Drop'!$D$14</definedName>
    <definedName name="ShellPressureDrop">'Shell Pressure Drop'!$D$64</definedName>
    <definedName name="ShellSizes">'Conversions'!$B$95:$C$124</definedName>
    <definedName name="ShellVelocity">'Shell Pressure Drop'!$D$32</definedName>
    <definedName name="SolveFor">'Conversions'!$B$33</definedName>
    <definedName name="solver_cvg" localSheetId="14" hidden="1">0.001</definedName>
    <definedName name="solver_drv" localSheetId="14" hidden="1">1</definedName>
    <definedName name="solver_est" localSheetId="14" hidden="1">1</definedName>
    <definedName name="solver_itr" localSheetId="14" hidden="1">100</definedName>
    <definedName name="solver_lin" localSheetId="14" hidden="1">2</definedName>
    <definedName name="solver_neg" localSheetId="14" hidden="1">2</definedName>
    <definedName name="solver_num" localSheetId="14" hidden="1">0</definedName>
    <definedName name="solver_nwt" localSheetId="14" hidden="1">1</definedName>
    <definedName name="solver_opt" localSheetId="14" hidden="1">'Fluid Data'!#REF!</definedName>
    <definedName name="solver_pre" localSheetId="14" hidden="1">0.000001</definedName>
    <definedName name="solver_scl" localSheetId="14" hidden="1">2</definedName>
    <definedName name="solver_sho" localSheetId="14" hidden="1">2</definedName>
    <definedName name="solver_tim" localSheetId="14" hidden="1">100</definedName>
    <definedName name="solver_tol" localSheetId="14" hidden="1">0.05</definedName>
    <definedName name="solver_typ" localSheetId="14" hidden="1">1</definedName>
    <definedName name="solver_val" localSheetId="14" hidden="1">0</definedName>
    <definedName name="SourceFluid">'Yaws Data'!$G$23</definedName>
    <definedName name="SS_Components">'Process Data'!$E$27</definedName>
    <definedName name="SS_CpIn">'Process Data'!$J$37</definedName>
    <definedName name="SS_CpOut">'Process Data'!$P$37</definedName>
    <definedName name="SS_DensityIn">'Process Data'!$G$37</definedName>
    <definedName name="SS_DensityOut">'Process Data'!$M$37</definedName>
    <definedName name="SS_Flow">'Process Data'!$D$9</definedName>
    <definedName name="SS_Fouling">'Process Data'!$D$14</definedName>
    <definedName name="SS_htc_assumed">'Shell htc'!$D$7</definedName>
    <definedName name="SS_MaxVelocity">'Nozzles'!$D$8</definedName>
    <definedName name="SS_Name">'Process Data'!$D$8</definedName>
    <definedName name="SS_NozzleIn">'Nozzles'!$D$42</definedName>
    <definedName name="SS_NozzleOut">'Nozzles'!$D$49</definedName>
    <definedName name="SS_PAllow">'Process Data'!$D$13</definedName>
    <definedName name="SS_Pin">'Process Data'!$D$12</definedName>
    <definedName name="SS_Sum">'Process Data'!$E$37</definedName>
    <definedName name="SS_TCIn">'Process Data'!$K$37</definedName>
    <definedName name="SS_TcOut">'Process Data'!$Q$37</definedName>
    <definedName name="SS_Tin">'Process Data'!$D$10</definedName>
    <definedName name="SS_TinC">'Process Data'!$Q$10</definedName>
    <definedName name="SS_Tout">'Process Data'!$D$11</definedName>
    <definedName name="SS_ToutC">'Process Data'!$Q$11</definedName>
    <definedName name="SS_ViscosityIn">'Process Data'!$H$37</definedName>
    <definedName name="SS_ViscosityOut">'Process Data'!$N$37</definedName>
    <definedName name="SS_WallTemp">'Shell htc'!$D$40</definedName>
    <definedName name="SS_WallViscosity">'Process Data'!$AD$37</definedName>
    <definedName name="SS_WallViscosityShell">'Process Data'!$AB$37</definedName>
    <definedName name="TC">'Yaws Data'!$V$9</definedName>
    <definedName name="Temp1">'Fluid Data'!$C$195</definedName>
    <definedName name="Temp2">'Fluid Data'!$C$196</definedName>
    <definedName name="Temp3">'Fluid Data'!$C$197</definedName>
    <definedName name="TS_CpIn">'Process Data'!$J$49</definedName>
    <definedName name="TS_CpOut">'Process Data'!$P$49</definedName>
    <definedName name="TS_DensityIn">'Process Data'!$G$49</definedName>
    <definedName name="TS_DensityOut">'Process Data'!$M$49</definedName>
    <definedName name="TS_Flow">'Process Data'!$D$18</definedName>
    <definedName name="TS_Fouling">'Process Data'!$D$23</definedName>
    <definedName name="TS_htc_assumed">'Tubes htc'!$D$7</definedName>
    <definedName name="TS_MaxVelocity">'Nozzles'!$D$7</definedName>
    <definedName name="TS_Name">'Process Data'!$D$17</definedName>
    <definedName name="TS_NozzleIn">'Nozzles'!$D$26</definedName>
    <definedName name="TS_NozzleOut">'Nozzles'!$D$33</definedName>
    <definedName name="TS_PAllow">'Process Data'!$D$22</definedName>
    <definedName name="TS_Pin">'Process Data'!$D$21</definedName>
    <definedName name="TS_Select">'Tubes Pressure Drop'!$D$7</definedName>
    <definedName name="TS_Sum">'Process Data'!$E$49</definedName>
    <definedName name="TS_TcIn">'Process Data'!$K$49</definedName>
    <definedName name="TS_TCOut">'Process Data'!$Q$49</definedName>
    <definedName name="TS_Tin">'Process Data'!$D$19</definedName>
    <definedName name="TS_TinC">'Process Data'!$Q$19</definedName>
    <definedName name="TS_Tout">'Process Data'!$D$20</definedName>
    <definedName name="TS_ToutC">'Process Data'!$Q$20</definedName>
    <definedName name="TS_ViscosityIn">'Process Data'!$H$49</definedName>
    <definedName name="TS_ViscosityOut">'Process Data'!$N$49</definedName>
    <definedName name="TS_WallTemp">'Tubes htc'!$D$30</definedName>
    <definedName name="TS_WallViscosity">'Process Data'!$AD$49</definedName>
    <definedName name="TS_WallViscosityShell">'Process Data'!$AB$49</definedName>
    <definedName name="TubeBundle_OD">'Shell Geometry'!$D$9</definedName>
    <definedName name="TubeConductivity">'Conversions'!$B$153:$C$166</definedName>
    <definedName name="TubeData">'Conversions'!$B$39:$H$47</definedName>
    <definedName name="TubeDiameters">'Conversions'!$B$39:$B$47</definedName>
    <definedName name="TubeGauge">'Tubes Pressure Drop'!$D$11</definedName>
    <definedName name="TubeID">'Tubes Pressure Drop'!$D$27</definedName>
    <definedName name="TubeLength">'Tubes Pressure Drop'!$D$12</definedName>
    <definedName name="TubeMat">'Overall U'!$D$7</definedName>
    <definedName name="TubeMaterial">'Conversions'!$B$153:$B$166</definedName>
    <definedName name="TubeOD">'Tubes Pressure Drop'!$D$10</definedName>
    <definedName name="TubeODtoSI">'Conversions'!$E$49</definedName>
    <definedName name="TubeODtoUS">'Conversions'!$E$50</definedName>
    <definedName name="TubePasses">'Tubes Pressure Drop'!$D$13</definedName>
    <definedName name="TubePitch">'Shell Geometry'!$D$24</definedName>
    <definedName name="TubePitchLayout">'Shell Geometry'!$D$14</definedName>
    <definedName name="TubePitchRatio">'Shell Geometry'!$D$15</definedName>
    <definedName name="TubeRoughness">'Tubes Pressure Drop'!$D$24</definedName>
    <definedName name="Tubes">'Conversions'!$C$34</definedName>
    <definedName name="TubeSheetThickness">'Weight'!$D$7</definedName>
    <definedName name="TubesPressureDrop">'Tubes Pressure Drop'!$D$51</definedName>
    <definedName name="TubesVelocity">'Tubes Pressure Drop'!$D$40</definedName>
    <definedName name="TubeTC">'Overall U'!$D$19</definedName>
    <definedName name="U_Assumed">'Tubes Pressure Drop'!$D$8</definedName>
    <definedName name="U_Clean">'Overall U'!$D$25</definedName>
    <definedName name="U_Fouled">'Overall U'!$D$26</definedName>
    <definedName name="units">'Conversions'!$B$32</definedName>
    <definedName name="units_conv">'Conversions'!$B$14:$E$31</definedName>
    <definedName name="Viscosity">'Yaws Data'!$O$9</definedName>
    <definedName name="VP">'Yaws Data'!$AA$9</definedName>
    <definedName name="WeightBundle">'Weight'!$D$39</definedName>
    <definedName name="WeightData">'Conversions'!$B$95:$M$124</definedName>
    <definedName name="WeightEmpty">'Weight'!$D$41</definedName>
    <definedName name="WeightFull">'Weight'!$D$49</definedName>
  </definedNames>
  <calcPr fullCalcOnLoad="1"/>
</workbook>
</file>

<file path=xl/comments4.xml><?xml version="1.0" encoding="utf-8"?>
<comments xmlns="http://schemas.openxmlformats.org/spreadsheetml/2006/main">
  <authors>
    <author>SMH</author>
    <author>Stephen Hall</author>
  </authors>
  <commentList>
    <comment ref="D12" authorId="0">
      <text>
        <r>
          <rPr>
            <sz val="8"/>
            <rFont val="Tahoma"/>
            <family val="2"/>
          </rPr>
          <t>Standard tube lengths in the US are 4, 8, 12, 15, and 20 ft</t>
        </r>
      </text>
    </comment>
    <comment ref="D13" authorId="0">
      <text>
        <r>
          <rPr>
            <sz val="8"/>
            <rFont val="Tahoma"/>
            <family val="2"/>
          </rPr>
          <t>Minimum = number of shell passes, or may be a multiple of 2 times the shell passes. This is the total number of tube passes, example: 3 shells, 2 tube passes in each shell = 6 tube passes</t>
        </r>
      </text>
    </comment>
    <comment ref="D40" authorId="0">
      <text>
        <r>
          <rPr>
            <sz val="8"/>
            <rFont val="Tahoma"/>
            <family val="2"/>
          </rPr>
          <t>Typical value is
0.5 to 2.5 m/s or
2 to 8 ft/s</t>
        </r>
      </text>
    </comment>
    <comment ref="D8" authorId="1">
      <text>
        <r>
          <rPr>
            <sz val="8"/>
            <rFont val="Tahoma"/>
            <family val="2"/>
          </rPr>
          <t>After stepping through all of the worksheets to "Overall U", come back here and iterate this assumption until it agrees with the calculated (clean) U</t>
        </r>
      </text>
    </comment>
  </commentList>
</comments>
</file>

<file path=xl/comments7.xml><?xml version="1.0" encoding="utf-8"?>
<comments xmlns="http://schemas.openxmlformats.org/spreadsheetml/2006/main">
  <authors>
    <author>SMH</author>
  </authors>
  <commentList>
    <comment ref="D11" authorId="0">
      <text>
        <r>
          <rPr>
            <sz val="8"/>
            <rFont val="Tahoma"/>
            <family val="2"/>
          </rPr>
          <t>Minimum baffle spacing is generally one-fifth of the shell diameter and not less than 2 inches. Maximum spacing is limited by the maximum unsupported tube span (in inches, equals 74 d^.75), divided by 2, reduced by 12% for Al, Cu, and their alloys.
Optimum baffle spacing is between 0.4 and 0.6 of the shell diameter</t>
        </r>
      </text>
    </comment>
    <comment ref="D9" authorId="0">
      <text>
        <r>
          <rPr>
            <sz val="8"/>
            <rFont val="Tahoma"/>
            <family val="2"/>
          </rPr>
          <t>Typically, the outer tube limit is (shell diameter - 26) mm for shells 635 mm (25 in) and larger; (shell diameter - 22 mm) for shells that are 254 to 610 mm (10 to 24 in) and slightly less for smaller shells</t>
        </r>
      </text>
    </comment>
  </commentList>
</comments>
</file>

<file path=xl/sharedStrings.xml><?xml version="1.0" encoding="utf-8"?>
<sst xmlns="http://schemas.openxmlformats.org/spreadsheetml/2006/main" count="1892" uniqueCount="979">
  <si>
    <t>Density</t>
  </si>
  <si>
    <t>Inputs</t>
  </si>
  <si>
    <t>m</t>
  </si>
  <si>
    <t>Viscosity</t>
  </si>
  <si>
    <t>cP</t>
  </si>
  <si>
    <t>C</t>
  </si>
  <si>
    <t>Parameter</t>
  </si>
  <si>
    <t>Units</t>
  </si>
  <si>
    <t>F</t>
  </si>
  <si>
    <t>gal/min</t>
  </si>
  <si>
    <t>density</t>
  </si>
  <si>
    <t>Inlet Pressure</t>
  </si>
  <si>
    <t>psig</t>
  </si>
  <si>
    <t>by Stephen Hall</t>
  </si>
  <si>
    <t>This Excel workbook includes Visual Basic for Application function subroutines.</t>
  </si>
  <si>
    <t>Macros must be enabled for them to work.</t>
  </si>
  <si>
    <t>Liquid</t>
  </si>
  <si>
    <t>b</t>
  </si>
  <si>
    <t>A</t>
  </si>
  <si>
    <t>B</t>
  </si>
  <si>
    <t>Water</t>
  </si>
  <si>
    <t>Temp, C</t>
  </si>
  <si>
    <t>Vapor</t>
  </si>
  <si>
    <t>Density, kg/m3</t>
  </si>
  <si>
    <t>lb/ft-h</t>
  </si>
  <si>
    <t>Velocity</t>
  </si>
  <si>
    <t>www.chemengsoftware.com</t>
  </si>
  <si>
    <t>Chapter 2: Heat Exchangers</t>
  </si>
  <si>
    <t>Fluid Name</t>
  </si>
  <si>
    <t>Flow Total</t>
  </si>
  <si>
    <t>Steam</t>
  </si>
  <si>
    <t>Evap/Cond</t>
  </si>
  <si>
    <t>Temperature (In/Out)</t>
  </si>
  <si>
    <t>Thermal Conductivity</t>
  </si>
  <si>
    <t>Specific Heat</t>
  </si>
  <si>
    <t>Latent Heat</t>
  </si>
  <si>
    <t>In</t>
  </si>
  <si>
    <t>Out</t>
  </si>
  <si>
    <t>Btu/lb-°F</t>
  </si>
  <si>
    <t>Btu/lb</t>
  </si>
  <si>
    <t>You may change the SI Units (and corresponding "Multiply to =")</t>
  </si>
  <si>
    <t>but be very careful!</t>
  </si>
  <si>
    <t>DO NOT INSERT ROWS INTO THIS TABLE!</t>
  </si>
  <si>
    <t>Table Name: UNITS_CONV</t>
  </si>
  <si>
    <t>Units Conversion</t>
  </si>
  <si>
    <t>Index</t>
  </si>
  <si>
    <t>Customary US</t>
  </si>
  <si>
    <t>Multiply to =</t>
  </si>
  <si>
    <t>SI Unit</t>
  </si>
  <si>
    <t>volume</t>
  </si>
  <si>
    <t>gallons</t>
  </si>
  <si>
    <t>liters</t>
  </si>
  <si>
    <t>length</t>
  </si>
  <si>
    <t>inches</t>
  </si>
  <si>
    <t>millimeters</t>
  </si>
  <si>
    <t>The format for accessing the Units Conversion table is:</t>
  </si>
  <si>
    <t>area</t>
  </si>
  <si>
    <t>m²</t>
  </si>
  <si>
    <t>=INDEX( units_conv, index, 2)</t>
  </si>
  <si>
    <t>heat flux</t>
  </si>
  <si>
    <t>W/m²-°C</t>
  </si>
  <si>
    <t>returns the second column (i.e., US units name)</t>
  </si>
  <si>
    <t>conductivity</t>
  </si>
  <si>
    <t>W/m-°C</t>
  </si>
  <si>
    <t>Heat transfer</t>
  </si>
  <si>
    <t>Btu/hr</t>
  </si>
  <si>
    <t>W</t>
  </si>
  <si>
    <t>Example</t>
  </si>
  <si>
    <t>flowrate</t>
  </si>
  <si>
    <t>liters/min</t>
  </si>
  <si>
    <t>Index = 8 (fouling)</t>
  </si>
  <si>
    <t>fouling</t>
  </si>
  <si>
    <t>m²-°C/W</t>
  </si>
  <si>
    <t>formula:</t>
  </si>
  <si>
    <t>pipe sizes</t>
  </si>
  <si>
    <t>DN</t>
  </si>
  <si>
    <t>result:</t>
  </si>
  <si>
    <t>spec heat</t>
  </si>
  <si>
    <t>feet</t>
  </si>
  <si>
    <t>velocity</t>
  </si>
  <si>
    <t>ft²</t>
  </si>
  <si>
    <t>pressure</t>
  </si>
  <si>
    <t>mass flow</t>
  </si>
  <si>
    <t>heat of vap</t>
  </si>
  <si>
    <t>kJ/kg</t>
  </si>
  <si>
    <t>dynamic viscosity</t>
  </si>
  <si>
    <t>kg/m-s</t>
  </si>
  <si>
    <r>
      <t>lb/ft</t>
    </r>
    <r>
      <rPr>
        <vertAlign val="superscript"/>
        <sz val="8"/>
        <rFont val="Arial"/>
        <family val="2"/>
      </rPr>
      <t>3</t>
    </r>
  </si>
  <si>
    <t>Units:</t>
  </si>
  <si>
    <t>Noncondensable</t>
  </si>
  <si>
    <t>Shell Side</t>
  </si>
  <si>
    <t>Tube Side</t>
  </si>
  <si>
    <t>Molecular Weight, vapor</t>
  </si>
  <si>
    <t>Molecular Weight, noncondensibles</t>
  </si>
  <si>
    <t>Press Drop Allowed</t>
  </si>
  <si>
    <t>Fouling Resistance</t>
  </si>
  <si>
    <t>Temperature, in</t>
  </si>
  <si>
    <t>Pressure, in</t>
  </si>
  <si>
    <t>Antoine Coefficients</t>
  </si>
  <si>
    <t>Methyl Alcohol</t>
  </si>
  <si>
    <t>Acetic Acid</t>
  </si>
  <si>
    <t>Ethyl Alcohol</t>
  </si>
  <si>
    <t>VP</t>
  </si>
  <si>
    <t>mm Hg</t>
  </si>
  <si>
    <t>kPa(g)</t>
  </si>
  <si>
    <t>Component</t>
  </si>
  <si>
    <t>mass fraction</t>
  </si>
  <si>
    <t>MW</t>
  </si>
  <si>
    <t>Heat Vap</t>
  </si>
  <si>
    <t>LOG(VP, mm Hg) = A + B / ((t, deg C) + C)</t>
  </si>
  <si>
    <t>Use this area to enter raw data. The coefficients are calculated, ready to be pasted (use "Paste Special… Values") onto the corresponding line in the HTF_properties table</t>
  </si>
  <si>
    <t>To remove an entry from the database, use Tools… Protection… Unprotect, then delete the row with the offending compound</t>
  </si>
  <si>
    <t>Units that the original data are in:</t>
  </si>
  <si>
    <t>Selection Values for Radio Buttons - this worksheet</t>
  </si>
  <si>
    <t>Temperature</t>
  </si>
  <si>
    <t>Specific Gravity</t>
  </si>
  <si>
    <t>Fluid Name:</t>
  </si>
  <si>
    <t>XCELTHERM® XT</t>
  </si>
  <si>
    <t>Manufacturer:</t>
  </si>
  <si>
    <t>Radco</t>
  </si>
  <si>
    <t>Description:</t>
  </si>
  <si>
    <t>Synthetic alkyl aromatic</t>
  </si>
  <si>
    <t>Operating range:</t>
  </si>
  <si>
    <t>FP</t>
  </si>
  <si>
    <t>BP</t>
  </si>
  <si>
    <t>Source:</t>
  </si>
  <si>
    <t>www.radcoind.com</t>
  </si>
  <si>
    <t>Values converted to SI units for the htf_properties table</t>
  </si>
  <si>
    <t>Predicted values in units of the table</t>
  </si>
  <si>
    <t>Predicted values in same units as input</t>
  </si>
  <si>
    <t>Thermal</t>
  </si>
  <si>
    <t>Intermediate</t>
  </si>
  <si>
    <t>Temp.</t>
  </si>
  <si>
    <t>Sp. Heat</t>
  </si>
  <si>
    <t>Conduct.</t>
  </si>
  <si>
    <t>Visc.</t>
  </si>
  <si>
    <t>Pressure</t>
  </si>
  <si>
    <t>Calcs</t>
  </si>
  <si>
    <t>deg C</t>
  </si>
  <si>
    <t>deg K</t>
  </si>
  <si>
    <t>kg/m3</t>
  </si>
  <si>
    <t>W/m-K</t>
  </si>
  <si>
    <t>mPa-s</t>
  </si>
  <si>
    <t>°C</t>
  </si>
  <si>
    <t xml:space="preserve">Enter values at SIX temperatures --&gt;&gt;&gt; </t>
  </si>
  <si>
    <t>The charts graph the input and predicted data. Large deviations may indicate a data entry error</t>
  </si>
  <si>
    <t>Viscosity Constants</t>
  </si>
  <si>
    <t>thermal conductivity</t>
  </si>
  <si>
    <t>heat capacity</t>
  </si>
  <si>
    <t>Raw Data - Units may be converted from original source</t>
  </si>
  <si>
    <t>Manufacturer</t>
  </si>
  <si>
    <t>Description</t>
  </si>
  <si>
    <t>Temp Use Range (deg C)</t>
  </si>
  <si>
    <t>Flash Point</t>
  </si>
  <si>
    <t>Boiling Point</t>
  </si>
  <si>
    <t>Type</t>
  </si>
  <si>
    <t>Temperature Points, deg C</t>
  </si>
  <si>
    <t>Thermal Conductivity, W/m-K</t>
  </si>
  <si>
    <t>Viscosity, Pa-s</t>
  </si>
  <si>
    <t>Vapor Pressure, mmHg</t>
  </si>
  <si>
    <t>Source</t>
  </si>
  <si>
    <t>Low</t>
  </si>
  <si>
    <t>High</t>
  </si>
  <si>
    <t>CALFLO™ AF</t>
  </si>
  <si>
    <t>Petro-Canada</t>
  </si>
  <si>
    <t>99.9% pure base oils, crystal-clear, free of aromatic compounds with additives</t>
  </si>
  <si>
    <t>Paraffinic</t>
  </si>
  <si>
    <t>Petro-Canada, TechData Sheet IM-7852E (06.08)</t>
  </si>
  <si>
    <t>CALFLO™ HTF</t>
  </si>
  <si>
    <t>Petro-Canada, TechData Sheet IM-7851E (07.06)</t>
  </si>
  <si>
    <t>CALFLO™ LT</t>
  </si>
  <si>
    <t>Synthetic poly-alpha-olefins</t>
  </si>
  <si>
    <t>Petro-Canada, TechData Sheet IM-7874E (07.07)</t>
  </si>
  <si>
    <t>Chemtherm® 550</t>
  </si>
  <si>
    <t>Coastal Chemical</t>
  </si>
  <si>
    <t>Premium oil more thermally stable than mineral oils</t>
  </si>
  <si>
    <t>Chemtherm 550 Data Sheet, 2010</t>
  </si>
  <si>
    <t>Chemtherm® 650</t>
  </si>
  <si>
    <t>Premium high temperature oil resists oxidation</t>
  </si>
  <si>
    <t>Chemtherm 650 Data Sheet, 2010</t>
  </si>
  <si>
    <t>Chemtherm® 700</t>
  </si>
  <si>
    <t>Premium high temperature single compound formulation</t>
  </si>
  <si>
    <t>Chemtherm 700 Data Sheet, 2010</t>
  </si>
  <si>
    <t>Diphyl®</t>
  </si>
  <si>
    <t>LANXESS Deutschland GmbH</t>
  </si>
  <si>
    <t>High-temperature HTF based on diphenyl oxide/diphenyl eutectic for liq and vap phase</t>
  </si>
  <si>
    <t>DIPHYL® database Version 2.3 - August 2005</t>
  </si>
  <si>
    <t>Diphyl® DT</t>
  </si>
  <si>
    <t>Isomeric ditolyl ethers with broad spectrum of applications in liq phase</t>
  </si>
  <si>
    <t>Diphyl® KT</t>
  </si>
  <si>
    <t>Synthetic mixture of isomeric bynzyl toluenes with high thermal stability</t>
  </si>
  <si>
    <t>Diphyl® THT</t>
  </si>
  <si>
    <t>Partially hydrogenated terphenyls for pressureless high temperature applications</t>
  </si>
  <si>
    <t>DOWCAL™ 10/DOWTHERM™ 10 - 30 vol%</t>
  </si>
  <si>
    <t>Dow Chemical</t>
  </si>
  <si>
    <t>Ethylene glycol with inhibitor package</t>
  </si>
  <si>
    <t/>
  </si>
  <si>
    <t>DOWCAL™ 10/DOWTHERM™ 10 Product Information Sheet, Dec 2009</t>
  </si>
  <si>
    <t>DOWCAL™ 10/DOWTHERM™ 10 - 40 vol%</t>
  </si>
  <si>
    <t>DOWCAL™ 10/DOWTHERM™ 10 - 50 vol%</t>
  </si>
  <si>
    <t>DOWCAL™ 20/DOWFROST™ 20 - 30 vol%</t>
  </si>
  <si>
    <t>Propylene glycol with inhibitor package</t>
  </si>
  <si>
    <t>DOWCAL™ 20/DOWFROST™ Product Information Sheet, Jan 2008</t>
  </si>
  <si>
    <t>DOWCAL™ 20/DOWFROST™ 20 - 40 vol%</t>
  </si>
  <si>
    <t>DOWCAL™ 20/DOWFROST™ 20 - 50 vol%</t>
  </si>
  <si>
    <t>DOWCAL™ N/DOWFROST™ - 30 vol%</t>
  </si>
  <si>
    <t>Propylene glycol with inhibitor package, food grade</t>
  </si>
  <si>
    <t>DOWCAL™ N/DOWFROST™ Product Information Sheet, Mar 2007</t>
  </si>
  <si>
    <t>DOWCAL™ N/DOWFROST™ - 40 vol%</t>
  </si>
  <si>
    <t>DOWCAL™ N/DOWFROST™ - 50 vol%</t>
  </si>
  <si>
    <t>DOWFROST™ - 30 vol%</t>
  </si>
  <si>
    <t>DOWFROST™ Product Information Sheet, Nov 2001</t>
  </si>
  <si>
    <t>DOWFROST™ - 40 vol%</t>
  </si>
  <si>
    <t>DOWFROST™ - 50 vol%</t>
  </si>
  <si>
    <t>DOWFROST™ HD - 30 vol%</t>
  </si>
  <si>
    <t>Propylene glycol with inhibitor package, dyed bright yellow</t>
  </si>
  <si>
    <t>DOWFROST™ HD Product Information Sheet, Nov 2001</t>
  </si>
  <si>
    <t>DOWFROST™ HD - 40 vol%</t>
  </si>
  <si>
    <t>DOWFROST™ HD - 50 vol%</t>
  </si>
  <si>
    <t>DOWTHERM™ 4000 - 30 Vol%</t>
  </si>
  <si>
    <t>Ethylene glycol with inhibitors, dyed fluorescent orange</t>
  </si>
  <si>
    <t>Dow, DOWTHERM™ 4000 Product Information Sheet, Nov 2001</t>
  </si>
  <si>
    <t>DOWTHERM™ 4000 - 40 Vol%</t>
  </si>
  <si>
    <t>DOWTHERM™ 4000 - 50 Vol%</t>
  </si>
  <si>
    <t>DOWTHERM™ A</t>
  </si>
  <si>
    <t>Biphenyl and diphenyl oxide eutectic mixture - liquid phase properties</t>
  </si>
  <si>
    <t>Biphynyl, Diphenyl Oxide</t>
  </si>
  <si>
    <t>Dow, DOWTHERM™ A Product Information Sheet, Nov 2001</t>
  </si>
  <si>
    <t>DOWTHERM™ G</t>
  </si>
  <si>
    <t>Di- and tri-aryl compounds mixture</t>
  </si>
  <si>
    <t>Di- and Tr-aryl Ethers</t>
  </si>
  <si>
    <t>Dow, DOWTHERM™ G Product Information Sheet, Dec 2001</t>
  </si>
  <si>
    <t>DOWTHERM™ J</t>
  </si>
  <si>
    <t>Mixture of isomers of an alkylated aromatic</t>
  </si>
  <si>
    <t>Alkylated Aromatic</t>
  </si>
  <si>
    <t>Dow, DOWTHERM™ J Product Information Sheet, Nov 2001</t>
  </si>
  <si>
    <t>DOWTHERM™ MX</t>
  </si>
  <si>
    <t>Mixture of alkylated aromatics</t>
  </si>
  <si>
    <t>Dow, DOWTHERM™ MX Product Information Sheet, Nov 2001</t>
  </si>
  <si>
    <t>DOWTHERM™ Q</t>
  </si>
  <si>
    <t>Mixture of diphenylethane and alkylated aromatics</t>
  </si>
  <si>
    <t>Diphenylethane, Alkylated Aromatic</t>
  </si>
  <si>
    <t>Dow, DOWTHERM™ Q Product Information Sheet, Nov 2001</t>
  </si>
  <si>
    <t>DOWTHERM™ RP</t>
  </si>
  <si>
    <t>Synthetic diaryl alkyl liquid</t>
  </si>
  <si>
    <t>Dow, DOWTHERM™ RP Product Information Sheet, Nov 2001</t>
  </si>
  <si>
    <t>DOWTHERM™ SR-1 - 30 Vol%</t>
  </si>
  <si>
    <t>Ethylene glycol with inhibitors, dyed fluorescent pink</t>
  </si>
  <si>
    <t>Dow, DOWTHERM™ SR-1 Product Information Sheet, Jun 2002</t>
  </si>
  <si>
    <t>DOWTHERM™ SR-1 - 40 Vol%</t>
  </si>
  <si>
    <t>DOWTHERM™ SR-1 - 50 Vol%</t>
  </si>
  <si>
    <t>DOWTHERM™ T</t>
  </si>
  <si>
    <t>Mixture of C14-C30 alkyl benzenes</t>
  </si>
  <si>
    <t>Dow, DOWTHERM™ T Product Information Sheet, Apr 2004</t>
  </si>
  <si>
    <t>DURATHERM 450</t>
  </si>
  <si>
    <t>Duratherm, division of Frontier Resource &amp; Recovery Services</t>
  </si>
  <si>
    <t>Refined oil, non-aromatic</t>
  </si>
  <si>
    <t>Duratherm 450 Data Sheet, 2010</t>
  </si>
  <si>
    <t>DURATHERM 600</t>
  </si>
  <si>
    <t>Refined and hydrotreated paraffinic oils, non-toxic and non-reportable</t>
  </si>
  <si>
    <t>Duratherm 600 Data Sheet, 2010</t>
  </si>
  <si>
    <t>DURATHERM 630</t>
  </si>
  <si>
    <t>Duratherm 630 Data Sheet, 2010</t>
  </si>
  <si>
    <t>DURATHERM FG</t>
  </si>
  <si>
    <t>Refined paraffinic oils with additives, food grade</t>
  </si>
  <si>
    <t>Duratherm FG Data Sheet, 2010</t>
  </si>
  <si>
    <t>DURATHERM G</t>
  </si>
  <si>
    <t>Polyalkylene glycol based fluid with additives</t>
  </si>
  <si>
    <t>Polyalkylene Glycol</t>
  </si>
  <si>
    <t>Duratherm G Data Sheet, 2010</t>
  </si>
  <si>
    <t>DURATHERM Lite</t>
  </si>
  <si>
    <t>Same as Duratherm 600, but with fewer additives</t>
  </si>
  <si>
    <t>Duratherm Lite Data Sheet, 2010</t>
  </si>
  <si>
    <t>DURATHERM LT</t>
  </si>
  <si>
    <t>Duratherm LT Data Sheet, 2010</t>
  </si>
  <si>
    <t>DURATHERM S</t>
  </si>
  <si>
    <t>Refined oil, non-aromatic especially resistant to oxidation</t>
  </si>
  <si>
    <t>Silicone</t>
  </si>
  <si>
    <t>Duratherm S Data Sheet, 2010</t>
  </si>
  <si>
    <t>DURATHERM XLT-120</t>
  </si>
  <si>
    <t>Refined silocone oil, for cryogenic applications, food &amp; pharma</t>
  </si>
  <si>
    <t>Duratherm XLT-120 Data Sheet, 2010</t>
  </si>
  <si>
    <t>DURATHERM XLT-50</t>
  </si>
  <si>
    <t>Duratherm XLT-50 Data Sheet, 2010</t>
  </si>
  <si>
    <t>Dynalene® 600</t>
  </si>
  <si>
    <t>Dynalene</t>
  </si>
  <si>
    <t>Silicone-based product with enhanced resistance to oxidation</t>
  </si>
  <si>
    <t>Dynalene 600 Data Sheet, 2010</t>
  </si>
  <si>
    <t>Dynalene® BioGlycol - 20 Vol%</t>
  </si>
  <si>
    <t>Produced from corn, better performance than propylene glycol</t>
  </si>
  <si>
    <t>Dynalene BioGlycol Data Sheet, 2010</t>
  </si>
  <si>
    <t>Dynalene® BioGlycol - 40 Vol%</t>
  </si>
  <si>
    <t>Dynalene® BioGlycol - 60 Vol%</t>
  </si>
  <si>
    <t>Dynalene® EG - 20 Vol%</t>
  </si>
  <si>
    <t>Inhibited ethylene glycol</t>
  </si>
  <si>
    <t>Dynalene EG Data Sheet</t>
  </si>
  <si>
    <t>Dynalene® EG - 40 Vol%</t>
  </si>
  <si>
    <t>Dynalene® EG - 60 Vol%</t>
  </si>
  <si>
    <t>Dynalene® HC-10</t>
  </si>
  <si>
    <t>Aqueous-based, engineered for low temperature applications</t>
  </si>
  <si>
    <t>Dynalene HC Engineering Guide</t>
  </si>
  <si>
    <t>Dynalene® HC-20</t>
  </si>
  <si>
    <t>Dynalene® HC-30</t>
  </si>
  <si>
    <t>Dynalene® HC-40</t>
  </si>
  <si>
    <t>Dynalene® HC-50</t>
  </si>
  <si>
    <t>Dynalene® HF</t>
  </si>
  <si>
    <t>Biodegradable aliphatic hydrocarbon blend, food grade</t>
  </si>
  <si>
    <t>Dynalene HF and Dynalene MV Engineering Guide</t>
  </si>
  <si>
    <t>Dynalene® HF-LO</t>
  </si>
  <si>
    <t>Aliphatic hydrocarbon blend, non-toxic, odorless</t>
  </si>
  <si>
    <t>Dynalene HF-LO Data Sheet</t>
  </si>
  <si>
    <t>Dynalene® HT</t>
  </si>
  <si>
    <t>Synthetic organic hydrocaron</t>
  </si>
  <si>
    <t>Dynalene HT Data Sheet</t>
  </si>
  <si>
    <t>Dynalene® LO-170</t>
  </si>
  <si>
    <t>Aliphatic hydrocarbon blend</t>
  </si>
  <si>
    <t>Dynalene LO-170 Data Sheet</t>
  </si>
  <si>
    <t>Dynalene® LO-230</t>
  </si>
  <si>
    <t>Dynalene LO-230 Data Sheet</t>
  </si>
  <si>
    <t>Dynalene® MV</t>
  </si>
  <si>
    <t>Biodegradable hydrocarbon blend</t>
  </si>
  <si>
    <t>Dynalene® PG - 20 Vol%</t>
  </si>
  <si>
    <t>Propylene glycol with corrosion inhibitors</t>
  </si>
  <si>
    <t>Dynalene PG Data Sheet</t>
  </si>
  <si>
    <t>Dynalene® PG - 40 Vol%</t>
  </si>
  <si>
    <t>Dynalene® PG - 60 Vol%</t>
  </si>
  <si>
    <t>Dynalene® PG - 80 Vol%</t>
  </si>
  <si>
    <t>Dynalene® SF</t>
  </si>
  <si>
    <t>Synthetic alkylated aromatics</t>
  </si>
  <si>
    <t>Dynalene SF Data Sheet</t>
  </si>
  <si>
    <t>Marlotherm® FP</t>
  </si>
  <si>
    <t>Sasol</t>
  </si>
  <si>
    <t>Isoparaffinic chemical structure, clear liquid, bland odor</t>
  </si>
  <si>
    <t>Marlotherm FP Technical Data Sheet, Rev: 11-May-2004</t>
  </si>
  <si>
    <t>Marlotherm® LH</t>
  </si>
  <si>
    <t>Skynthetic, organic, heat transfer medium</t>
  </si>
  <si>
    <t>Marlotherm LH Product Information, Rev: 09.04</t>
  </si>
  <si>
    <t>Marlotherm® N</t>
  </si>
  <si>
    <t>Skynthetic, organic, heat transfer medium, ideal 150 to 300 deg C range</t>
  </si>
  <si>
    <t>Marlotherm N Product Information, Rev: 01.06.2007</t>
  </si>
  <si>
    <t>Marlotherm® SH</t>
  </si>
  <si>
    <t>Marlotherm SH Product Information, Rev: 09/04</t>
  </si>
  <si>
    <t>MultiTherm® 503</t>
  </si>
  <si>
    <t>MultiTherm</t>
  </si>
  <si>
    <t>Paraffinic hydrocarbon</t>
  </si>
  <si>
    <t>MultiTherm 503 7/04 Data Sheet</t>
  </si>
  <si>
    <t>MultiTherm® FF-1</t>
  </si>
  <si>
    <t>Flushing Fluid</t>
  </si>
  <si>
    <t>MultiTherm FF-1 7/04 Data Sheet</t>
  </si>
  <si>
    <t>MultiTherm® IG-1</t>
  </si>
  <si>
    <t>White mineral oil</t>
  </si>
  <si>
    <t>MultiTherm IG-1 Web Page (2010)</t>
  </si>
  <si>
    <t>MultiTherm® IG-4</t>
  </si>
  <si>
    <t>Mineral Oil</t>
  </si>
  <si>
    <t>MultiTherm IG-4 Web Page (2010)</t>
  </si>
  <si>
    <t>MultiTherm® OG-1</t>
  </si>
  <si>
    <t>Hydrocracked mineral oil with oxidation inhibitor/stabilizer</t>
  </si>
  <si>
    <t>MultiTherm OG-1 7/04 Data Sheet</t>
  </si>
  <si>
    <t>MultiTherm® PG-1</t>
  </si>
  <si>
    <t>White mineral oil, food grade</t>
  </si>
  <si>
    <t>MultiTherm PG-1 7/04 Data Sheet</t>
  </si>
  <si>
    <t>MultiTherm® ULT-170</t>
  </si>
  <si>
    <t>Hydrocarbon blend</t>
  </si>
  <si>
    <t>MultiTherm ULT-170 7/04 Data Sheet</t>
  </si>
  <si>
    <t>MultiTherm® WB+14</t>
  </si>
  <si>
    <t>Water based, no flash point, for low temperature performance</t>
  </si>
  <si>
    <t>MultiThermWB 7/04 Data Sheet</t>
  </si>
  <si>
    <t>MultiTherm® WB-22</t>
  </si>
  <si>
    <t>MultiTherm® WB-40</t>
  </si>
  <si>
    <t>MultiTherm® WB-5</t>
  </si>
  <si>
    <t>MultiTherm® WB-58</t>
  </si>
  <si>
    <t>Paratherm CR™</t>
  </si>
  <si>
    <t>Paratherm</t>
  </si>
  <si>
    <t>Synthetic hydrocarbon blend</t>
  </si>
  <si>
    <t>Engineering Bulleting CR 809</t>
  </si>
  <si>
    <t>Paratherm GLT™</t>
  </si>
  <si>
    <t>Alkylated aromatic for closed loop liquid phase heating</t>
  </si>
  <si>
    <t>Engineering Bulleting GLT 309</t>
  </si>
  <si>
    <t>Paratherm HE™</t>
  </si>
  <si>
    <t>Hydrotreated heavy paraffinic distillate - mineral oil</t>
  </si>
  <si>
    <t>Engineering Bulleting HE 809</t>
  </si>
  <si>
    <t>Paratherm HR™</t>
  </si>
  <si>
    <t>Alkylated aromatic, for closed loop heating</t>
  </si>
  <si>
    <t>Engineering Bulleting HR 309</t>
  </si>
  <si>
    <t>Paratherm LR™</t>
  </si>
  <si>
    <t>Paraffinic hydrocarbon, for closed loop heating and cooling</t>
  </si>
  <si>
    <t>Engineering Bulleting LR 809</t>
  </si>
  <si>
    <t>Paratherm MG™</t>
  </si>
  <si>
    <t>Linear alkene, food grade</t>
  </si>
  <si>
    <t>Engineering Bulleting MG 709</t>
  </si>
  <si>
    <t>Paratherm MR™</t>
  </si>
  <si>
    <t>Linear alkene, fully saturated</t>
  </si>
  <si>
    <t>Engineering Bulleting MR 909</t>
  </si>
  <si>
    <t>Paratherm NF™</t>
  </si>
  <si>
    <t>Hydrotreated mineral oil, food grade</t>
  </si>
  <si>
    <t>Engineering Bulleting NF 809</t>
  </si>
  <si>
    <t>Petro-Therm™</t>
  </si>
  <si>
    <t>Mixture of severely hydrotreated and hydrocracked petroleum</t>
  </si>
  <si>
    <t>PURITY™ FG</t>
  </si>
  <si>
    <t>Pure base oil, food grade, with additives</t>
  </si>
  <si>
    <t>Petro-Canada, TechData Sheet IM-7877E (04.03)</t>
  </si>
  <si>
    <t>SYLTHERM™ 800</t>
  </si>
  <si>
    <t>Silicone fluid - dimethyl polysiloxane</t>
  </si>
  <si>
    <t>Dow, SYLTHERM™ 800 Product Information Sheet, Nov 2001</t>
  </si>
  <si>
    <t>SYLTHERM™ HF</t>
  </si>
  <si>
    <t>Dow, SYLTHERM™ HF Product Information Sheet, Nov 2001</t>
  </si>
  <si>
    <t>SYLTHERM™ XLT</t>
  </si>
  <si>
    <t>Dow, SYLTHERM™ XLT Product Information Sheet, Dec 2003</t>
  </si>
  <si>
    <t>Thermalane® 600</t>
  </si>
  <si>
    <t>Premium heat transfer fluid, non-toxic, environmentally friendly</t>
  </si>
  <si>
    <t>Thermalane 600 Data Sheet, 2010</t>
  </si>
  <si>
    <t>Thermalane® 800</t>
  </si>
  <si>
    <t>Thermalane 800 Data Sheet, 2010</t>
  </si>
  <si>
    <t>Therminol™ 55</t>
  </si>
  <si>
    <t>Solutia</t>
  </si>
  <si>
    <t>Alkyl aromatic derivatives</t>
  </si>
  <si>
    <t>Synthetic Hydrocarbon</t>
  </si>
  <si>
    <t>Therminol Reference Disk, Version 5.0</t>
  </si>
  <si>
    <t>Therminol™ 59</t>
  </si>
  <si>
    <t>Mixture of diphenyl alkanes</t>
  </si>
  <si>
    <t>Alkyl Substituted Aromatic</t>
  </si>
  <si>
    <t>Therminol™ 62</t>
  </si>
  <si>
    <t>Mixture of di- and tri-isopropyl biphenyl</t>
  </si>
  <si>
    <t>Therminol™ 66</t>
  </si>
  <si>
    <t>Hydrogenated terphenyl and  polyphenyls</t>
  </si>
  <si>
    <t>Modified Terphenyl</t>
  </si>
  <si>
    <t>Therminol™ 72</t>
  </si>
  <si>
    <t>Mixture of diphenyl ether, terphenyl, biphenyl, and phenanthrene</t>
  </si>
  <si>
    <t>Therminol™ 75</t>
  </si>
  <si>
    <t>Mixture of terphenyl, quaterphenyl, and phenanthrene</t>
  </si>
  <si>
    <t>Therminol™ D-12</t>
  </si>
  <si>
    <t>Hydrotreated heavy naphtha (petroleum)</t>
  </si>
  <si>
    <t>Therminol™ LT</t>
  </si>
  <si>
    <t>Diethyl benzene</t>
  </si>
  <si>
    <t>Therminol™ VLT</t>
  </si>
  <si>
    <t>Mixture of methyl cyclohexane and trimethyl pentane</t>
  </si>
  <si>
    <t>Therminol™ VP-1</t>
  </si>
  <si>
    <t>Mixture of diphenyl ether and biphenyl</t>
  </si>
  <si>
    <t>Therminol™ VP-3</t>
  </si>
  <si>
    <t>Mixture of cyclohexylbenzene and bicyclohexyl</t>
  </si>
  <si>
    <t>Therminol™ XP</t>
  </si>
  <si>
    <t>NA</t>
  </si>
  <si>
    <t>City water</t>
  </si>
  <si>
    <t>XCELTHERM® 445FP</t>
  </si>
  <si>
    <t>Hydroprocessed napthenic mineral oil; high flash point</t>
  </si>
  <si>
    <t>XCELTHERM® 500</t>
  </si>
  <si>
    <t>Hydrogenated polyalpha olefin</t>
  </si>
  <si>
    <t>PAO Synthetic</t>
  </si>
  <si>
    <t>XCELTHERM® 600</t>
  </si>
  <si>
    <t>Hydroprocessed paraffinic white mineral oil</t>
  </si>
  <si>
    <t>XCELTHERM® HT</t>
  </si>
  <si>
    <t>XCELTHERM® LV1</t>
  </si>
  <si>
    <t>Diphenyl ethane and diphenyl oxide mixture</t>
  </si>
  <si>
    <t>XCELTHERM® MK1</t>
  </si>
  <si>
    <t>Diphenyl oxide and diphenyl</t>
  </si>
  <si>
    <t>Molecular Wt</t>
  </si>
  <si>
    <t>Mol Wt</t>
  </si>
  <si>
    <t>cP = EXP(A+B/((T, deg K)+C))</t>
  </si>
  <si>
    <t>Density = mt(deg C) + b</t>
  </si>
  <si>
    <t>kg/m3 = mt(deg C) + b</t>
  </si>
  <si>
    <t>W/m-K = mt(deg C) + b</t>
  </si>
  <si>
    <t>kJ/kg-K = mt(deg C) + b</t>
  </si>
  <si>
    <t>kJ/kg-K</t>
  </si>
  <si>
    <t>Specific Heat, kJ/kg-K</t>
  </si>
  <si>
    <t>Heat of Vaporization</t>
  </si>
  <si>
    <t>Propyl Alcohol, n-</t>
  </si>
  <si>
    <t>Propyl Alcohol, i-</t>
  </si>
  <si>
    <t>Glycerol</t>
  </si>
  <si>
    <t>Butyl Alcohol, n-</t>
  </si>
  <si>
    <t>pure component</t>
  </si>
  <si>
    <t>Perry's, 6th Ed</t>
  </si>
  <si>
    <t>mole fraction</t>
  </si>
  <si>
    <t xml:space="preserve">ChemEng Software sells an Excel template called TANKJKT </t>
  </si>
  <si>
    <t>TANKJKT models heat transfer in vessels with jackets and/or internal coils. It includes a database of properties for glass-lined reactors, heat transfer fluids, and insulation materials. Order on-line or by telephone, 24-h/d; credit cards accepted.</t>
  </si>
  <si>
    <t>Units conversion table. Do not change the SI units;</t>
  </si>
  <si>
    <t>Sp Heat</t>
  </si>
  <si>
    <t>Therm Cond</t>
  </si>
  <si>
    <t>H Vap</t>
  </si>
  <si>
    <t>mass frac</t>
  </si>
  <si>
    <t>Viscosity using Eq 27-3</t>
  </si>
  <si>
    <t>Wi ln(visc)</t>
  </si>
  <si>
    <t>Temperature, out</t>
  </si>
  <si>
    <t>Multiple components from the Fluid Data properties table can be specified, and their properties will be averaged.</t>
  </si>
  <si>
    <t>Averging properties for non-ideal solutions, such as polar mixtures (with water), gives poor results.</t>
  </si>
  <si>
    <t>A better approach is to define the properties for the mixtures at several temperatures and add them to the database.</t>
  </si>
  <si>
    <t>Use this worksheet to define the components present in the hot and cold streams for a heat transfer problem.</t>
  </si>
  <si>
    <r>
      <t>The composition (</t>
    </r>
    <r>
      <rPr>
        <i/>
        <sz val="10"/>
        <rFont val="Arial"/>
        <family val="2"/>
      </rPr>
      <t>i.e.,</t>
    </r>
    <r>
      <rPr>
        <sz val="10"/>
        <rFont val="Arial"/>
        <family val="2"/>
      </rPr>
      <t xml:space="preserve"> mass fraction of each component) is specifed on the next worksheet.</t>
    </r>
  </si>
  <si>
    <t>Hot Fluid Components</t>
  </si>
  <si>
    <t>Name</t>
  </si>
  <si>
    <t>in Data Table?</t>
  </si>
  <si>
    <t>Use the dropdown list to view the Fluid Data content:</t>
  </si>
  <si>
    <t>Cold Fluid Components</t>
  </si>
  <si>
    <t>To add new materials to the Fluid Data, go to the Fluid Data worksheet tab</t>
  </si>
  <si>
    <t>Hot Side</t>
  </si>
  <si>
    <t>Cold Side</t>
  </si>
  <si>
    <t>Hot Side Fluid Components</t>
  </si>
  <si>
    <t>Cold Side Fluid Components</t>
  </si>
  <si>
    <t>Heat</t>
  </si>
  <si>
    <t>Watts</t>
  </si>
  <si>
    <t>kJ/kg-°C</t>
  </si>
  <si>
    <t>Btu/h-ft²-°F</t>
  </si>
  <si>
    <t>Btu/h-ft-°F</t>
  </si>
  <si>
    <t>ft²-h-°F/Btu</t>
  </si>
  <si>
    <t>lb/h</t>
  </si>
  <si>
    <t>kg/h</t>
  </si>
  <si>
    <t>Solve For</t>
  </si>
  <si>
    <t>Heat Transferred</t>
  </si>
  <si>
    <t>Partial P</t>
  </si>
  <si>
    <t>Fluid flowing in tubes</t>
  </si>
  <si>
    <t>Flow rate</t>
  </si>
  <si>
    <t>Average viscosity</t>
  </si>
  <si>
    <t>Average density</t>
  </si>
  <si>
    <t>Tube OD</t>
  </si>
  <si>
    <t>US</t>
  </si>
  <si>
    <t>SI</t>
  </si>
  <si>
    <t>Tube Diameters</t>
  </si>
  <si>
    <t>to SI</t>
  </si>
  <si>
    <t>to US</t>
  </si>
  <si>
    <t>Calculations</t>
  </si>
  <si>
    <t>Tube wall thickness</t>
  </si>
  <si>
    <t>BWG</t>
  </si>
  <si>
    <t>Wall Thickness</t>
  </si>
  <si>
    <t>Gauge</t>
  </si>
  <si>
    <t>ISG</t>
  </si>
  <si>
    <t>Brown&amp;Sharp</t>
  </si>
  <si>
    <t>Tube Gauges</t>
  </si>
  <si>
    <t>Min</t>
  </si>
  <si>
    <t>Max</t>
  </si>
  <si>
    <t>Tube inside diameter</t>
  </si>
  <si>
    <t>Fluid name</t>
  </si>
  <si>
    <t>Assumed overall U</t>
  </si>
  <si>
    <t>Log-mean temp diff</t>
  </si>
  <si>
    <t>Heat transferred</t>
  </si>
  <si>
    <t>Tube area required</t>
  </si>
  <si>
    <t>Adjusted duty</t>
  </si>
  <si>
    <t>Tube area available</t>
  </si>
  <si>
    <t>Total tube length req</t>
  </si>
  <si>
    <t>Tube length</t>
  </si>
  <si>
    <t>Number of tubes</t>
  </si>
  <si>
    <t>Actual area</t>
  </si>
  <si>
    <t>Tubes per pass</t>
  </si>
  <si>
    <t>Flow rate per tube</t>
  </si>
  <si>
    <t>Reynolds Number</t>
  </si>
  <si>
    <t>Tube roughness</t>
  </si>
  <si>
    <t>Friction Factor</t>
  </si>
  <si>
    <t>Pressure Drop, tubes</t>
  </si>
  <si>
    <t>Pressure at inlet</t>
  </si>
  <si>
    <t>Pressure drop allowed</t>
  </si>
  <si>
    <t>Velocity in tube</t>
  </si>
  <si>
    <t>Flow area per tube</t>
  </si>
  <si>
    <t>Pressure drop, enter/exit</t>
  </si>
  <si>
    <t>neglect</t>
  </si>
  <si>
    <t>Enter/exit tubes</t>
  </si>
  <si>
    <t>End losses in bonnets/channels</t>
  </si>
  <si>
    <t>Subtotal, extra losses tube side</t>
  </si>
  <si>
    <t>Total pressure drop, tube side</t>
  </si>
  <si>
    <t>Intermediate value</t>
  </si>
  <si>
    <t>R</t>
  </si>
  <si>
    <t>P</t>
  </si>
  <si>
    <t>Numerator</t>
  </si>
  <si>
    <t>Denomenator</t>
  </si>
  <si>
    <t>Tube Passes</t>
  </si>
  <si>
    <t>Temp diff correction factor</t>
  </si>
  <si>
    <t>Mean temperature difference</t>
  </si>
  <si>
    <t>Shell Passes</t>
  </si>
  <si>
    <t>Tube passes</t>
  </si>
  <si>
    <t>Shell passes</t>
  </si>
  <si>
    <t>Inputs (copied from the Process Data and Tubes worksheets)</t>
  </si>
  <si>
    <t>N</t>
  </si>
  <si>
    <t>S</t>
  </si>
  <si>
    <t>W'</t>
  </si>
  <si>
    <t>General Case</t>
  </si>
  <si>
    <t>R=1 Case</t>
  </si>
  <si>
    <t>General Case Answer</t>
  </si>
  <si>
    <t>R=1 Answer</t>
  </si>
  <si>
    <t>Choose which one</t>
  </si>
  <si>
    <t>Data (from the Process Data and F Factor worksheets)</t>
  </si>
  <si>
    <t>Outside surface area</t>
  </si>
  <si>
    <t>Tube outside diameter</t>
  </si>
  <si>
    <t>Inside surface area</t>
  </si>
  <si>
    <t>Overall U based on inside area</t>
  </si>
  <si>
    <t>Average temperature, shell side</t>
  </si>
  <si>
    <t>Average temperature, tube side</t>
  </si>
  <si>
    <t>Mean wall temperature, inside</t>
  </si>
  <si>
    <t>Assumed inside heat transfer coef</t>
  </si>
  <si>
    <t>Viscosity Based on the Wall Temperatures</t>
  </si>
  <si>
    <t>If Shell Side</t>
  </si>
  <si>
    <t>If Tube Side</t>
  </si>
  <si>
    <t>ln(cP)</t>
  </si>
  <si>
    <t>Viscosity at tube wall</t>
  </si>
  <si>
    <t>Sieder-Tate term (visc ratio^0.14)</t>
  </si>
  <si>
    <t>Bulk viscosity</t>
  </si>
  <si>
    <t>Prandl Number</t>
  </si>
  <si>
    <t>Bulk heat capacity</t>
  </si>
  <si>
    <t>Bulk thermal conductivity</t>
  </si>
  <si>
    <t>Laminar flow calculation</t>
  </si>
  <si>
    <t>Tube length (one path)</t>
  </si>
  <si>
    <t>Inside heat transfer coefficient</t>
  </si>
  <si>
    <t>Turbulent flow calculation</t>
  </si>
  <si>
    <t>Transition flow calculation</t>
  </si>
  <si>
    <t>Data (from the Process Data and Tubes Pressure Drop worksheets)</t>
  </si>
  <si>
    <t>Data</t>
  </si>
  <si>
    <t>Number of tubes in the exchanger</t>
  </si>
  <si>
    <t>Number of shells</t>
  </si>
  <si>
    <t>Outside diameter of tubes</t>
  </si>
  <si>
    <t>Shell inside diameter</t>
  </si>
  <si>
    <t>Baffle cut</t>
  </si>
  <si>
    <t>Baffle spacing</t>
  </si>
  <si>
    <t>Number of sealing strips per side</t>
  </si>
  <si>
    <t>Baffle cut, lc</t>
  </si>
  <si>
    <t>fraction</t>
  </si>
  <si>
    <t>Fc</t>
  </si>
  <si>
    <t>Baffle cut correction factor</t>
  </si>
  <si>
    <t>Jc</t>
  </si>
  <si>
    <t>Tube pitch</t>
  </si>
  <si>
    <t>Tube pitch layout</t>
  </si>
  <si>
    <t>Tube pitch ratio</t>
  </si>
  <si>
    <t>Arrangement</t>
  </si>
  <si>
    <t>Parallel</t>
  </si>
  <si>
    <t>Normal</t>
  </si>
  <si>
    <t>Tube Parameters based on Pitch</t>
  </si>
  <si>
    <t>Cross section for 1 tube equivalent</t>
  </si>
  <si>
    <t>Cross section for all tubes</t>
  </si>
  <si>
    <t>Fraction of tubes in crossflow</t>
  </si>
  <si>
    <t>Heat Capacity of Liquid</t>
  </si>
  <si>
    <t>Density of Liquid</t>
  </si>
  <si>
    <t>Liquid Viscosity</t>
  </si>
  <si>
    <t>Liquid thermal conductivity</t>
  </si>
  <si>
    <t>Vapor Pressure</t>
  </si>
  <si>
    <t>Cp = A + BT + CT2 + DT3</t>
  </si>
  <si>
    <t>density = A B^(-(1-T/Tc)^n)</t>
  </si>
  <si>
    <t>log10(cP) = a + B/T + CT + DT2</t>
  </si>
  <si>
    <t>k = A + BT + CT^2, W/(m-K)</t>
  </si>
  <si>
    <t>log10(mm Hg) = A + B/T + ClogT + DT + ET^2</t>
  </si>
  <si>
    <t>D</t>
  </si>
  <si>
    <t>Temp</t>
  </si>
  <si>
    <t>J/mol-K</t>
  </si>
  <si>
    <t>n</t>
  </si>
  <si>
    <t>Tc</t>
  </si>
  <si>
    <t>g/cc</t>
  </si>
  <si>
    <t>E</t>
  </si>
  <si>
    <t>Butane, n</t>
  </si>
  <si>
    <t>C4H10</t>
  </si>
  <si>
    <t>Pentane</t>
  </si>
  <si>
    <t>C5H12</t>
  </si>
  <si>
    <t>Hexane</t>
  </si>
  <si>
    <t>C6H14</t>
  </si>
  <si>
    <t>Octane</t>
  </si>
  <si>
    <t>C8H18</t>
  </si>
  <si>
    <t>K</t>
  </si>
  <si>
    <t>kg/cu.m.</t>
  </si>
  <si>
    <t>KJ/kg-°K</t>
  </si>
  <si>
    <t>W/m-°K</t>
  </si>
  <si>
    <t>Row</t>
  </si>
  <si>
    <t>°C minimum</t>
  </si>
  <si>
    <t>°C maximum</t>
  </si>
  <si>
    <t>Yaw's Handbook, 2003</t>
  </si>
  <si>
    <t>Approximate max unsupported tube span</t>
  </si>
  <si>
    <t>Area corrected for tube passes</t>
  </si>
  <si>
    <t>Minimum calculated shell diameter</t>
  </si>
  <si>
    <t>Standard diameter from table</t>
  </si>
  <si>
    <t>Standard Shell Sizes, Inside Diameter</t>
  </si>
  <si>
    <t>mm</t>
  </si>
  <si>
    <t>Bulk viscosity, shell</t>
  </si>
  <si>
    <t>Bulk heat capacity, shell</t>
  </si>
  <si>
    <t>Bulk thermal conductivity, shell</t>
  </si>
  <si>
    <t>Mean wall temperature, outside</t>
  </si>
  <si>
    <t>Wall viscosity, shell</t>
  </si>
  <si>
    <t>Fluid flowing in shell</t>
  </si>
  <si>
    <t>j-ideal factor</t>
  </si>
  <si>
    <t>Correlation Coefficients for j-I and f-I</t>
  </si>
  <si>
    <t>Pitch Layout</t>
  </si>
  <si>
    <t>Nre</t>
  </si>
  <si>
    <t>a1</t>
  </si>
  <si>
    <t>a2</t>
  </si>
  <si>
    <t>a3</t>
  </si>
  <si>
    <t>a4</t>
  </si>
  <si>
    <t>b1</t>
  </si>
  <si>
    <t>b2</t>
  </si>
  <si>
    <t>b3</t>
  </si>
  <si>
    <t>b4</t>
  </si>
  <si>
    <t>j-ideal factor coefficients</t>
  </si>
  <si>
    <t>Pitch layout</t>
  </si>
  <si>
    <t>a</t>
  </si>
  <si>
    <t>Pitch Ratio</t>
  </si>
  <si>
    <t>Assumed outside heat transfer coef</t>
  </si>
  <si>
    <t>Ideal heat transfer coefficient</t>
  </si>
  <si>
    <t>Baffle cut fraction</t>
  </si>
  <si>
    <t>Material of construction, tubes</t>
  </si>
  <si>
    <t>Assumed U</t>
  </si>
  <si>
    <t>Film coefficient, tubes</t>
  </si>
  <si>
    <t>Overall losses</t>
  </si>
  <si>
    <t>Fouling resistance, tubes</t>
  </si>
  <si>
    <t>Fouling resistance, shell</t>
  </si>
  <si>
    <t>Film coefficient, shell</t>
  </si>
  <si>
    <t>Outside diameter, tubes</t>
  </si>
  <si>
    <t>Inside diameter, tubes</t>
  </si>
  <si>
    <t>Angle to edge of baffle</t>
  </si>
  <si>
    <t>Theta-1</t>
  </si>
  <si>
    <t>Shell-to-baffle spacing</t>
  </si>
  <si>
    <t>sb</t>
  </si>
  <si>
    <t>Baffle diameter</t>
  </si>
  <si>
    <t>Shell-to-baffle leakage area</t>
  </si>
  <si>
    <t>Asb</t>
  </si>
  <si>
    <t>Fraction of tubes in one window</t>
  </si>
  <si>
    <t>Angle to edge of tubes and baffle</t>
  </si>
  <si>
    <t>Theta-3</t>
  </si>
  <si>
    <t>Shell-to-outer tube limit distance</t>
  </si>
  <si>
    <t>C1</t>
  </si>
  <si>
    <t>Tube-to-baffle leakage area</t>
  </si>
  <si>
    <t>Atb</t>
  </si>
  <si>
    <t>ra</t>
  </si>
  <si>
    <t>rb</t>
  </si>
  <si>
    <t>Angle to window</t>
  </si>
  <si>
    <t>Theta-2</t>
  </si>
  <si>
    <t>Tubes in baffle window</t>
  </si>
  <si>
    <t>Fw</t>
  </si>
  <si>
    <t>Area occupied by tubes in window</t>
  </si>
  <si>
    <t>Awt</t>
  </si>
  <si>
    <t>Gross window area</t>
  </si>
  <si>
    <t>Awg</t>
  </si>
  <si>
    <t>Free area for fluid flow in one window</t>
  </si>
  <si>
    <t>Aw</t>
  </si>
  <si>
    <t>Baffle Leakage Effects factor</t>
  </si>
  <si>
    <t>Jl</t>
  </si>
  <si>
    <t>Baffle hole to tube OD spacing</t>
  </si>
  <si>
    <t>tb</t>
  </si>
  <si>
    <t>Baffle hole clearance</t>
  </si>
  <si>
    <t>Thermal conductivity, tubes</t>
  </si>
  <si>
    <t>Tube Materials and Thermal Conductivities</t>
  </si>
  <si>
    <t>Outside heat transfer coefficient</t>
  </si>
  <si>
    <t>Aluminum</t>
  </si>
  <si>
    <t>Brass (75% Cu, 30% Zn)</t>
  </si>
  <si>
    <t>Bronze (75% Cu, 25% Sn)</t>
  </si>
  <si>
    <t>Constantan (60% Cu, 40% Ni)</t>
  </si>
  <si>
    <t>Copper</t>
  </si>
  <si>
    <t>Iron</t>
  </si>
  <si>
    <t>Magnesium</t>
  </si>
  <si>
    <t>Molybdenum</t>
  </si>
  <si>
    <t>Nickel</t>
  </si>
  <si>
    <t>Steel (1% C)</t>
  </si>
  <si>
    <t>Steel (1% Cr)</t>
  </si>
  <si>
    <t>Steel (18% Cr, 8% Ni)</t>
  </si>
  <si>
    <t>Zinc</t>
  </si>
  <si>
    <t>Distilled Water</t>
  </si>
  <si>
    <t>Raw Water</t>
  </si>
  <si>
    <t>Cr-alloy (0.5% Cr)</t>
  </si>
  <si>
    <t>Tube Pitch</t>
  </si>
  <si>
    <t>SHELL-AND-TUBE HEAT EXCHANGER</t>
  </si>
  <si>
    <t>CLIENT</t>
  </si>
  <si>
    <t>EQUIP. NO</t>
  </si>
  <si>
    <t>PAGE</t>
  </si>
  <si>
    <t xml:space="preserve"> </t>
  </si>
  <si>
    <t>REV</t>
  </si>
  <si>
    <t>PREPARED BY</t>
  </si>
  <si>
    <t>DATE</t>
  </si>
  <si>
    <t>APPROVAL</t>
  </si>
  <si>
    <t>W.O.</t>
  </si>
  <si>
    <t>REQUISITION NO.</t>
  </si>
  <si>
    <t>SPECIFICATION NO.</t>
  </si>
  <si>
    <t>UNIT</t>
  </si>
  <si>
    <t>AREA</t>
  </si>
  <si>
    <t>PROCURED BY</t>
  </si>
  <si>
    <t>INSTALLED BY</t>
  </si>
  <si>
    <t>Size</t>
  </si>
  <si>
    <t>TEMA Type</t>
  </si>
  <si>
    <t>Connected in (series/parallel)</t>
  </si>
  <si>
    <t>Surface per Unit</t>
  </si>
  <si>
    <t>Shells per Unit</t>
  </si>
  <si>
    <t>Surface per Shell</t>
  </si>
  <si>
    <t>Performance of One Unit</t>
  </si>
  <si>
    <t>Fluid Allocation</t>
  </si>
  <si>
    <t>(in/out)</t>
  </si>
  <si>
    <t>(inlet)</t>
  </si>
  <si>
    <t>Fouling Factor</t>
  </si>
  <si>
    <t>Press Drop Allow/Calc</t>
  </si>
  <si>
    <t>Heat Exchanged</t>
  </si>
  <si>
    <t>Service Coeff.</t>
  </si>
  <si>
    <t>Dirty</t>
  </si>
  <si>
    <t>Clean</t>
  </si>
  <si>
    <t>Construction Data for One Shell</t>
  </si>
  <si>
    <t>Sketch</t>
  </si>
  <si>
    <t>Design/Test Press</t>
  </si>
  <si>
    <t>Design Temperature</t>
  </si>
  <si>
    <t>No. Passes per Shell</t>
  </si>
  <si>
    <t>Corrosion Allowance</t>
  </si>
  <si>
    <t>Tubes</t>
  </si>
  <si>
    <t>No.</t>
  </si>
  <si>
    <t>Pitch layout, deg.</t>
  </si>
  <si>
    <t>Material</t>
  </si>
  <si>
    <t>Pitch ratio</t>
  </si>
  <si>
    <t>Shell</t>
  </si>
  <si>
    <t>Channel or Bonnet</t>
  </si>
  <si>
    <t>Thick</t>
  </si>
  <si>
    <t>Channel Cover</t>
  </si>
  <si>
    <t>Tubesheet Type</t>
  </si>
  <si>
    <t>Floating Heat Cover</t>
  </si>
  <si>
    <t>Impingement Protection</t>
  </si>
  <si>
    <t>Baffles Cross (number)</t>
  </si>
  <si>
    <t>% Cut (d)</t>
  </si>
  <si>
    <t>Baffles Long</t>
  </si>
  <si>
    <t>Seal Type No</t>
  </si>
  <si>
    <t>Supports Tube</t>
  </si>
  <si>
    <t>U-Bend</t>
  </si>
  <si>
    <t>Bypass Seal Arrangement</t>
  </si>
  <si>
    <t>Tube-Tubesheet Joint</t>
  </si>
  <si>
    <t>Expansion Joint No.</t>
  </si>
  <si>
    <t>Rho-V2-Inlet Nozzle</t>
  </si>
  <si>
    <t>Bundle Entrance</t>
  </si>
  <si>
    <t>Bundle Exit</t>
  </si>
  <si>
    <t>Supports</t>
  </si>
  <si>
    <t>Code Requirements</t>
  </si>
  <si>
    <t>TEMA Class</t>
  </si>
  <si>
    <t>Filled w/water</t>
  </si>
  <si>
    <t>Bundle</t>
  </si>
  <si>
    <t>Notes</t>
  </si>
  <si>
    <t>Overall U, calculated, dirty</t>
  </si>
  <si>
    <t>Overall U, calculated, clean</t>
  </si>
  <si>
    <t>in</t>
  </si>
  <si>
    <t>Weight per shell</t>
  </si>
  <si>
    <t>Gaskets - Shell Side</t>
  </si>
  <si>
    <t>Connections Size &amp; Rating</t>
  </si>
  <si>
    <t>User Inputs</t>
  </si>
  <si>
    <t>Calc Results</t>
  </si>
  <si>
    <t>Mech Detail</t>
  </si>
  <si>
    <t>General Inputs</t>
  </si>
  <si>
    <t>Formula coefficient</t>
  </si>
  <si>
    <t>Longitudinal Tube Pitch</t>
  </si>
  <si>
    <t>Correction Factor for Baffle Cut and Spacing</t>
  </si>
  <si>
    <t>Correction Factor for Baffle Leakage Effects</t>
  </si>
  <si>
    <t>Correction Factor for Bundle and Partition Bypass Effects</t>
  </si>
  <si>
    <t>Number of effective crossflow rows in each window</t>
  </si>
  <si>
    <t>Number of baffles</t>
  </si>
  <si>
    <t>Number of bypass divider lanes</t>
  </si>
  <si>
    <t>Np</t>
  </si>
  <si>
    <t>Width of bypass divider lanes</t>
  </si>
  <si>
    <t>wp</t>
  </si>
  <si>
    <t>Number of sealing strip pairs per side</t>
  </si>
  <si>
    <t>Tube crossings</t>
  </si>
  <si>
    <t>Ncc</t>
  </si>
  <si>
    <t>Ratio of sealing strips to tubes</t>
  </si>
  <si>
    <t>rc</t>
  </si>
  <si>
    <t>Bundle Bypass Factor</t>
  </si>
  <si>
    <t>Jb</t>
  </si>
  <si>
    <t>Ratio, bypass to crossflow area</t>
  </si>
  <si>
    <t>Correction for Variations in Baffle Spacing</t>
  </si>
  <si>
    <t>Assuming even number of baffles so shell nozzles are on opposite sides</t>
  </si>
  <si>
    <t>Odd number of flow lanes</t>
  </si>
  <si>
    <t>Assume equal spacing for inlet and outlet baffles</t>
  </si>
  <si>
    <t>Length of center section, baffled</t>
  </si>
  <si>
    <t>Inlet and Outlet baffle spacing</t>
  </si>
  <si>
    <t>Exponent</t>
  </si>
  <si>
    <t>Li*</t>
  </si>
  <si>
    <t>Lo*</t>
  </si>
  <si>
    <t>Baffle Spacing Factor</t>
  </si>
  <si>
    <t>Js</t>
  </si>
  <si>
    <t>Correction for Temperature Gradient if Laminar Flow</t>
  </si>
  <si>
    <t>Number of tube rows in one crossflow section</t>
  </si>
  <si>
    <t>Correction factor</t>
  </si>
  <si>
    <t>Crossflow area between baffles, As</t>
  </si>
  <si>
    <t>Area of bypass divider lanes, Abp</t>
  </si>
  <si>
    <t>Tube Outside Diameter</t>
  </si>
  <si>
    <t>f-ideal factor coefficients</t>
  </si>
  <si>
    <t>f-ideal factor</t>
  </si>
  <si>
    <t>Pressure Drop, one crossflow section</t>
  </si>
  <si>
    <t>Data (from Shell htc worksheet)</t>
  </si>
  <si>
    <t>Tubes in one crossflow section</t>
  </si>
  <si>
    <t>Conversion factor</t>
  </si>
  <si>
    <t>gc</t>
  </si>
  <si>
    <t>Flow area, crossflow section, As</t>
  </si>
  <si>
    <t>Bypass correction factor</t>
  </si>
  <si>
    <t>Coefficient</t>
  </si>
  <si>
    <t>Cbp</t>
  </si>
  <si>
    <t>Crossflow pressure drop, ideal</t>
  </si>
  <si>
    <t>Tube bundle outside diameter</t>
  </si>
  <si>
    <t>Tube Pitch, normal to flow</t>
  </si>
  <si>
    <t>Tube Pitch, parallel to flow</t>
  </si>
  <si>
    <t>Outer tube limit (diameter)</t>
  </si>
  <si>
    <t>Velocity in crossflow at widest diameter</t>
  </si>
  <si>
    <t>Area required, clean</t>
  </si>
  <si>
    <t>Area required, fouled</t>
  </si>
  <si>
    <t>Oversurface</t>
  </si>
  <si>
    <t>Safety factor for fouling</t>
  </si>
  <si>
    <t>Leakage correction factor</t>
  </si>
  <si>
    <t>RL</t>
  </si>
  <si>
    <t>RB</t>
  </si>
  <si>
    <t>Intermediate exponent</t>
  </si>
  <si>
    <t>Flow area, window, Aw</t>
  </si>
  <si>
    <t>Ideal Pressure Drop per Crossflow Section</t>
  </si>
  <si>
    <t>mw</t>
  </si>
  <si>
    <t>Crossflow pressure drop, corrected</t>
  </si>
  <si>
    <t>Window Pressure Drop</t>
  </si>
  <si>
    <t>Average flow per window</t>
  </si>
  <si>
    <t>Window pressure drop</t>
  </si>
  <si>
    <t>Ntw</t>
  </si>
  <si>
    <t>End Zones Pressure Drop</t>
  </si>
  <si>
    <t>End zones pressure drop</t>
  </si>
  <si>
    <t>Baffle spacing, center</t>
  </si>
  <si>
    <t>Baffle spacing, inlet zone</t>
  </si>
  <si>
    <t>Baffle spacing, outlet zone</t>
  </si>
  <si>
    <t>Correction factor, baffle spacing</t>
  </si>
  <si>
    <t>RS</t>
  </si>
  <si>
    <t>TOTAL Shell Side Pressure Drop</t>
  </si>
  <si>
    <t>Guide to Using this Workbook</t>
  </si>
  <si>
    <t>2. Define the mass fraction of the components, flow rates, and temperatures on the Process Data worksheet</t>
  </si>
  <si>
    <t>3. Use the Tubes Pressure Drop worksheet to determine the tube diameter, length and number of tube passes in the exchanger, based on a pressure drop criteria</t>
  </si>
  <si>
    <t>4. Calculate the inside film coefficient on the Tubes htc worksheet</t>
  </si>
  <si>
    <t>5. Determine the shell diameter and enter information about the tube bundle and baffles on the Shell Geometry worksheet.</t>
  </si>
  <si>
    <t>6. Calculate the outside film coefficient on the Shell htc worksheet</t>
  </si>
  <si>
    <t>7. Determine the pressure drop on the shell side on the Shell Pressure Drop worksheet</t>
  </si>
  <si>
    <t>9. Complete a TEMA datasheet on the Shell-and-Tube worksheet</t>
  </si>
  <si>
    <t>1. Define the components in the hot and cold streams on the Process Fluids worksheet. Store the properties for new (previously unknown) components on the Fluid Data worksheet.</t>
  </si>
  <si>
    <t>10. The Conversions worksheet is used for data, including the status of radio buttons and checkboxes, and must not be deleted!</t>
  </si>
  <si>
    <r>
      <t xml:space="preserve">The primary purpose of this workbook is to demonstrate the use of the Bell-Delaware method for rating shell-and-tube heat exchangers. The method is applicable to exchangers with NO PHASE change. The worksheets follow the text in the stepwise evaluation of a heat transfer problem that is defined by the hot and cold fluid properties. Input cells have </t>
    </r>
    <r>
      <rPr>
        <sz val="10"/>
        <color indexed="10"/>
        <rFont val="Arial"/>
        <family val="2"/>
      </rPr>
      <t>RED</t>
    </r>
    <r>
      <rPr>
        <sz val="10"/>
        <rFont val="Arial"/>
        <family val="0"/>
      </rPr>
      <t xml:space="preserve"> text. Cells with black text are formulas.</t>
    </r>
  </si>
  <si>
    <t>Use this worksheet to capture parameters from Yaws publications, such as "Yaws' Handbook of Thermodynamic and Physical Properties of Chemical Compounds", then copy to the Fluid Data sheet for entry into the database.</t>
  </si>
  <si>
    <t>Data (from Tubes Pressure Drop worksheet)</t>
  </si>
  <si>
    <t>Tube crossings in window</t>
  </si>
  <si>
    <t>Equivalent diameter of baffle window</t>
  </si>
  <si>
    <t>Area provided by the design</t>
  </si>
  <si>
    <t>Shell Inside Diameter</t>
  </si>
  <si>
    <t>Shell Length</t>
  </si>
  <si>
    <t>Tube Inside Diameter</t>
  </si>
  <si>
    <t>Number of Tubes</t>
  </si>
  <si>
    <t>Flange Weight</t>
  </si>
  <si>
    <t>lb</t>
  </si>
  <si>
    <t>kg</t>
  </si>
  <si>
    <t>Shell Thickness</t>
  </si>
  <si>
    <t>OD, inches</t>
  </si>
  <si>
    <t>OD, mm</t>
  </si>
  <si>
    <t>ID</t>
  </si>
  <si>
    <t>Weight of steel</t>
  </si>
  <si>
    <t>Shell weight</t>
  </si>
  <si>
    <t>Tube volume (inside the tubes)</t>
  </si>
  <si>
    <t>Density of water</t>
  </si>
  <si>
    <t>Tube volume (outside the tubes)</t>
  </si>
  <si>
    <t>Tube Weight</t>
  </si>
  <si>
    <t>Tubesheet thickness</t>
  </si>
  <si>
    <t>Number of Baffles</t>
  </si>
  <si>
    <t>Baffle Thickness</t>
  </si>
  <si>
    <t>Baffles</t>
  </si>
  <si>
    <t>assumes two tubesheets</t>
  </si>
  <si>
    <t>Tubesheet</t>
  </si>
  <si>
    <t>Total, Tube Bundle empty</t>
  </si>
  <si>
    <t>Add for heads</t>
  </si>
  <si>
    <t>Add for four flanges</t>
  </si>
  <si>
    <t>Total, Shell</t>
  </si>
  <si>
    <t>Add for nozzles</t>
  </si>
  <si>
    <t>Total Weight, empty</t>
  </si>
  <si>
    <t>Shell metal volume</t>
  </si>
  <si>
    <t>Shell inside volume</t>
  </si>
  <si>
    <t>Heads volume</t>
  </si>
  <si>
    <t>Less volume of tube metal</t>
  </si>
  <si>
    <t>Weight of Water filling the void</t>
  </si>
  <si>
    <t>Total Weight, full of water</t>
  </si>
  <si>
    <t>Equiv Diam</t>
  </si>
  <si>
    <t>Nr,tw</t>
  </si>
  <si>
    <t>Nr,cc</t>
  </si>
  <si>
    <t>Tubeside</t>
  </si>
  <si>
    <t>Shellside</t>
  </si>
  <si>
    <t>Inlet density</t>
  </si>
  <si>
    <t>Max Velocity, tubeside nozzles</t>
  </si>
  <si>
    <t>Max Velocity, shellside nozzles</t>
  </si>
  <si>
    <t>Volumetric flow rate, tubeside inlet</t>
  </si>
  <si>
    <t>Volumetric flow rate, shellside inlet</t>
  </si>
  <si>
    <t>Pipe Sizes</t>
  </si>
  <si>
    <t>Pipe Size</t>
  </si>
  <si>
    <t>Nozzle Wt</t>
  </si>
  <si>
    <t>Minimum ID of nozzle</t>
  </si>
  <si>
    <t>Selected nozzle</t>
  </si>
  <si>
    <t>Outlet density</t>
  </si>
  <si>
    <t>Weight</t>
  </si>
  <si>
    <t>Volumetric flow rate, tubeside outlet</t>
  </si>
  <si>
    <t>Volumetric flow rate, shellside outlet</t>
  </si>
  <si>
    <t>ft/s</t>
  </si>
  <si>
    <t>m/s</t>
  </si>
  <si>
    <t>Selected nozzle designation</t>
  </si>
  <si>
    <t>rho-v2</t>
  </si>
  <si>
    <t>8. Compute the overall heat transfer coefficient, clean and fouled, on the Overall U worksheet; iterate until the assumed overall U in Step 3 agrees with the calculated U-clean</t>
  </si>
  <si>
    <t>Rules of Thumb for Chemical Engineers, 5th Edition</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</si>
</sst>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00_);_(* \(#,##0.000\);_(* &quot;-&quot;???_);_(@_)"/>
    <numFmt numFmtId="172" formatCode="_(* #,##0.0_);_(* \(#,##0.0\);_(* &quot;-&quot;??_);_(@_)"/>
    <numFmt numFmtId="173" formatCode="_(* #,##0.000_);_(* \(#,##0.000\);_(* &quot;-&quot;??_);_(@_)"/>
    <numFmt numFmtId="174" formatCode="#,##0.000"/>
    <numFmt numFmtId="175" formatCode="_(* #,##0.0_);_(* \(#,##0.0\);_(* &quot;-&quot;?_);_(@_)"/>
    <numFmt numFmtId="176" formatCode="_(* #,##0.00000_);_(* \(#,##0.00000\);_(* &quot;-&quot;??_);_(@_)"/>
    <numFmt numFmtId="177" formatCode="_(* #,##0.000000_);_(* \(#,##0.000000\);_(* &quot;-&quot;??_);_(@_)"/>
    <numFmt numFmtId="178" formatCode="_(* #,##0.0000000_);_(* \(#,##0.0000000\);_(* &quot;-&quot;??_);_(@_)"/>
    <numFmt numFmtId="179" formatCode="_(* #,##0.0000_);_(* \(#,##0.0000\);_(* &quot;-&quot;????_);_(@_)"/>
    <numFmt numFmtId="180" formatCode="#.0_)"/>
    <numFmt numFmtId="181" formatCode="#,##0.0_)_)"/>
    <numFmt numFmtId="182" formatCode="#,##0_)_)"/>
    <numFmt numFmtId="183" formatCode="0.000"/>
    <numFmt numFmtId="184" formatCode="#,##0.0_)"/>
    <numFmt numFmtId="185" formatCode="0.0000"/>
    <numFmt numFmtId="186" formatCode="0.00000"/>
    <numFmt numFmtId="187" formatCode="0._)"/>
    <numFmt numFmtId="188" formatCode="0.0"/>
    <numFmt numFmtId="189" formatCode="0.000000"/>
    <numFmt numFmtId="190" formatCode="_(* #,##0.0_)_)_)_)_);_(* \(#,##0.0\);_(* &quot;-&quot;??_);_(@_)"/>
    <numFmt numFmtId="191" formatCode="_(* #,##0.0_)_)_)_)_)_)_)_)_);_(* \(#,##0.0\);_(* &quot;-&quot;??_);_(@_)"/>
    <numFmt numFmtId="192" formatCode="0.0;[Red]0.0"/>
    <numFmt numFmtId="193" formatCode="#,##0.0000"/>
    <numFmt numFmtId="194" formatCode="#,##0.00000"/>
    <numFmt numFmtId="195" formatCode="#,##0.000000"/>
    <numFmt numFmtId="196" formatCode="General_)_)"/>
    <numFmt numFmtId="197" formatCode="0.000000000"/>
    <numFmt numFmtId="198" formatCode="#,##0.0000000"/>
    <numFmt numFmtId="199" formatCode="#,##0.00000000"/>
    <numFmt numFmtId="200" formatCode="#,##0.000000000"/>
    <numFmt numFmtId="201" formatCode="#,##0.00000000000"/>
    <numFmt numFmtId="202" formatCode="0.0%"/>
    <numFmt numFmtId="203" formatCode="0.0000000"/>
    <numFmt numFmtId="204" formatCode="0.0000_);\-0.0000_)"/>
    <numFmt numFmtId="205" formatCode="_(* #,##0.00000000_);_(* \(#,##0.00000000\);_(* &quot;-&quot;??_);_(@_)"/>
  </numFmts>
  <fonts count="75">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i/>
      <sz val="10"/>
      <name val="Arial"/>
      <family val="2"/>
    </font>
    <font>
      <sz val="10"/>
      <color indexed="10"/>
      <name val="Arial"/>
      <family val="2"/>
    </font>
    <font>
      <sz val="10"/>
      <color indexed="12"/>
      <name val="Geneva"/>
      <family val="0"/>
    </font>
    <font>
      <b/>
      <sz val="8"/>
      <name val="Arial"/>
      <family val="2"/>
    </font>
    <font>
      <vertAlign val="superscript"/>
      <sz val="8"/>
      <name val="Arial"/>
      <family val="2"/>
    </font>
    <font>
      <sz val="8"/>
      <name val="Tahoma"/>
      <family val="2"/>
    </font>
    <font>
      <b/>
      <i/>
      <sz val="10"/>
      <name val="Arial"/>
      <family val="2"/>
    </font>
    <font>
      <sz val="9"/>
      <color indexed="8"/>
      <name val="Verdana"/>
      <family val="2"/>
    </font>
    <font>
      <sz val="11"/>
      <name val="Arial"/>
      <family val="2"/>
    </font>
    <font>
      <sz val="10"/>
      <name val="Geneva"/>
      <family val="0"/>
    </font>
    <font>
      <sz val="8"/>
      <name val="Geneva"/>
      <family val="0"/>
    </font>
    <font>
      <b/>
      <sz val="12"/>
      <name val="Arial"/>
      <family val="2"/>
    </font>
    <font>
      <sz val="12"/>
      <name val="Arial"/>
      <family val="2"/>
    </font>
    <font>
      <sz val="8"/>
      <color indexed="10"/>
      <name val="Arial"/>
      <family val="2"/>
    </font>
    <font>
      <sz val="10"/>
      <color indexed="10"/>
      <name val="Geneva"/>
      <family val="0"/>
    </font>
    <font>
      <sz val="10"/>
      <color indexed="12"/>
      <name val="Arial"/>
      <family val="2"/>
    </font>
    <font>
      <sz val="8"/>
      <color indexed="12"/>
      <name val="Arial"/>
      <family val="2"/>
    </font>
    <font>
      <u val="single"/>
      <sz val="8"/>
      <name val="Arial"/>
      <family val="2"/>
    </font>
    <font>
      <sz val="10.2"/>
      <color indexed="8"/>
      <name val="Georgia"/>
      <family val="1"/>
    </font>
    <font>
      <sz val="10"/>
      <color indexed="63"/>
      <name val="Verdana"/>
      <family val="2"/>
    </font>
    <font>
      <sz val="14"/>
      <name val="Arial"/>
      <family val="2"/>
    </font>
    <font>
      <sz val="10"/>
      <color indexed="9"/>
      <name val="Arial"/>
      <family val="2"/>
    </font>
    <font>
      <b/>
      <sz val="24"/>
      <name val="Arial"/>
      <family val="2"/>
    </font>
    <font>
      <i/>
      <sz val="8"/>
      <name val="Arial"/>
      <family val="2"/>
    </font>
    <font>
      <b/>
      <i/>
      <sz val="8"/>
      <name val="Arial"/>
      <family val="2"/>
    </font>
    <font>
      <sz val="5.5"/>
      <name val="Arial"/>
      <family val="2"/>
    </font>
    <font>
      <sz val="7"/>
      <name val="Arial"/>
      <family val="2"/>
    </font>
    <font>
      <sz val="8.5"/>
      <color indexed="8"/>
      <name val="Arial"/>
      <family val="2"/>
    </font>
    <font>
      <sz val="9"/>
      <color indexed="8"/>
      <name val="Arial"/>
      <family val="2"/>
    </font>
    <font>
      <sz val="9.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sz val="12"/>
      <color indexed="8"/>
      <name val="Arial"/>
      <family val="2"/>
    </font>
    <font>
      <sz val="7.15"/>
      <color indexed="8"/>
      <name val="Arial"/>
      <family val="2"/>
    </font>
    <font>
      <sz val="7.55"/>
      <color indexed="8"/>
      <name val="Arial"/>
      <family val="2"/>
    </font>
    <font>
      <sz val="8.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57"/>
        <bgColor indexed="64"/>
      </patternFill>
    </fill>
    <fill>
      <patternFill patternType="solid">
        <fgColor indexed="17"/>
        <bgColor indexed="64"/>
      </patternFill>
    </fill>
    <fill>
      <patternFill patternType="solid">
        <fgColor indexed="5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thin"/>
      <right>
        <color indexed="63"/>
      </right>
      <top style="medium"/>
      <bottom style="medium"/>
    </border>
    <border>
      <left>
        <color indexed="63"/>
      </left>
      <right style="thin"/>
      <top style="medium"/>
      <bottom style="medium"/>
    </border>
    <border>
      <left>
        <color indexed="63"/>
      </left>
      <right>
        <color indexed="63"/>
      </right>
      <top style="thin"/>
      <bottom style="medium"/>
    </border>
    <border>
      <left>
        <color indexed="63"/>
      </left>
      <right style="thin"/>
      <top style="medium"/>
      <bottom style="thin"/>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14"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23">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43" fontId="0" fillId="0" borderId="0" xfId="0" applyNumberFormat="1" applyAlignment="1">
      <alignment/>
    </xf>
    <xf numFmtId="0" fontId="1" fillId="33" borderId="0" xfId="0" applyFont="1" applyFill="1" applyAlignment="1">
      <alignment horizontal="center"/>
    </xf>
    <xf numFmtId="0" fontId="0" fillId="33" borderId="0" xfId="0" applyFill="1" applyAlignment="1">
      <alignment/>
    </xf>
    <xf numFmtId="43" fontId="0" fillId="0" borderId="0" xfId="42" applyFont="1" applyAlignment="1">
      <alignment/>
    </xf>
    <xf numFmtId="0" fontId="0" fillId="0" borderId="0" xfId="0" applyFont="1" applyAlignment="1">
      <alignment/>
    </xf>
    <xf numFmtId="0" fontId="0" fillId="0" borderId="0" xfId="0" applyBorder="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3" fontId="0" fillId="0" borderId="0" xfId="42" applyAlignment="1">
      <alignment/>
    </xf>
    <xf numFmtId="0" fontId="0" fillId="0" borderId="0" xfId="0" applyAlignment="1">
      <alignment horizontal="center"/>
    </xf>
    <xf numFmtId="43" fontId="0" fillId="0" borderId="10" xfId="0" applyNumberFormat="1" applyBorder="1" applyAlignment="1">
      <alignment/>
    </xf>
    <xf numFmtId="43" fontId="0" fillId="0" borderId="10" xfId="42" applyFont="1" applyBorder="1" applyAlignment="1">
      <alignment/>
    </xf>
    <xf numFmtId="0" fontId="12" fillId="0" borderId="0" xfId="0" applyFont="1" applyAlignment="1">
      <alignment/>
    </xf>
    <xf numFmtId="0" fontId="3" fillId="33" borderId="0" xfId="54" applyFill="1" applyAlignment="1" applyProtection="1">
      <alignment/>
      <protection/>
    </xf>
    <xf numFmtId="0" fontId="0" fillId="33" borderId="0" xfId="0" applyFill="1" applyBorder="1" applyAlignment="1">
      <alignment wrapText="1"/>
    </xf>
    <xf numFmtId="0" fontId="13" fillId="33" borderId="0" xfId="0" applyFont="1" applyFill="1" applyBorder="1" applyAlignment="1" applyProtection="1">
      <alignment vertical="top" wrapText="1"/>
      <protection/>
    </xf>
    <xf numFmtId="0" fontId="2" fillId="0" borderId="0" xfId="0" applyFont="1" applyAlignment="1">
      <alignment/>
    </xf>
    <xf numFmtId="0" fontId="8" fillId="0" borderId="0" xfId="0" applyFont="1" applyAlignment="1">
      <alignment horizontal="centerContinuous"/>
    </xf>
    <xf numFmtId="0" fontId="8" fillId="0" borderId="0" xfId="0" applyFont="1" applyAlignment="1">
      <alignment horizontal="right"/>
    </xf>
    <xf numFmtId="0" fontId="8" fillId="0" borderId="0" xfId="0" applyFont="1" applyBorder="1" applyAlignment="1">
      <alignment/>
    </xf>
    <xf numFmtId="0" fontId="2" fillId="34" borderId="17" xfId="0" applyFont="1" applyFill="1" applyBorder="1" applyAlignment="1">
      <alignment/>
    </xf>
    <xf numFmtId="0" fontId="2" fillId="34" borderId="15" xfId="0" applyFont="1" applyFill="1" applyBorder="1" applyAlignment="1">
      <alignment/>
    </xf>
    <xf numFmtId="0" fontId="2" fillId="34" borderId="16" xfId="0" applyFont="1" applyFill="1" applyBorder="1" applyAlignment="1">
      <alignment/>
    </xf>
    <xf numFmtId="0" fontId="2" fillId="34" borderId="11" xfId="0" applyFont="1" applyFill="1" applyBorder="1" applyAlignment="1">
      <alignment/>
    </xf>
    <xf numFmtId="0" fontId="2" fillId="34" borderId="0" xfId="0" applyFont="1" applyFill="1" applyBorder="1" applyAlignment="1">
      <alignment/>
    </xf>
    <xf numFmtId="0" fontId="2" fillId="34" borderId="12" xfId="0" applyFont="1" applyFill="1" applyBorder="1" applyAlignment="1">
      <alignment/>
    </xf>
    <xf numFmtId="0" fontId="2" fillId="0" borderId="0" xfId="0" applyFont="1" applyAlignment="1" quotePrefix="1">
      <alignment/>
    </xf>
    <xf numFmtId="0" fontId="2" fillId="34" borderId="0" xfId="0" applyFont="1" applyFill="1" applyBorder="1" applyAlignment="1" applyProtection="1">
      <alignment/>
      <protection/>
    </xf>
    <xf numFmtId="0" fontId="2" fillId="34" borderId="13" xfId="0" applyFont="1" applyFill="1" applyBorder="1" applyAlignment="1">
      <alignment/>
    </xf>
    <xf numFmtId="0" fontId="2" fillId="34" borderId="10" xfId="0" applyFont="1" applyFill="1" applyBorder="1" applyAlignment="1">
      <alignment/>
    </xf>
    <xf numFmtId="0" fontId="2" fillId="34" borderId="14" xfId="0" applyFont="1" applyFill="1" applyBorder="1" applyAlignment="1">
      <alignment/>
    </xf>
    <xf numFmtId="0" fontId="0" fillId="0" borderId="0" xfId="0" applyAlignment="1">
      <alignment horizontal="left" indent="1"/>
    </xf>
    <xf numFmtId="0" fontId="1" fillId="0" borderId="0" xfId="0" applyFont="1" applyAlignment="1">
      <alignment horizontal="centerContinuous"/>
    </xf>
    <xf numFmtId="0" fontId="0" fillId="0" borderId="0" xfId="0" applyAlignment="1">
      <alignment horizontal="centerContinuous"/>
    </xf>
    <xf numFmtId="0" fontId="11" fillId="0" borderId="0" xfId="0" applyFont="1" applyAlignment="1">
      <alignment/>
    </xf>
    <xf numFmtId="0" fontId="6" fillId="0" borderId="0" xfId="0" applyFont="1" applyAlignment="1">
      <alignment/>
    </xf>
    <xf numFmtId="165" fontId="6" fillId="0" borderId="0" xfId="42" applyNumberFormat="1" applyFont="1" applyAlignment="1">
      <alignment/>
    </xf>
    <xf numFmtId="164" fontId="6" fillId="0" borderId="0" xfId="42" applyNumberFormat="1" applyFont="1" applyAlignment="1">
      <alignment/>
    </xf>
    <xf numFmtId="0" fontId="6" fillId="0" borderId="10" xfId="0" applyFont="1" applyBorder="1" applyAlignment="1">
      <alignment/>
    </xf>
    <xf numFmtId="43" fontId="0" fillId="0" borderId="10" xfId="42" applyBorder="1" applyAlignment="1">
      <alignment/>
    </xf>
    <xf numFmtId="0" fontId="16" fillId="0" borderId="0" xfId="59" applyFont="1">
      <alignment/>
      <protection/>
    </xf>
    <xf numFmtId="0" fontId="2" fillId="0" borderId="0" xfId="59" applyFont="1">
      <alignment/>
      <protection/>
    </xf>
    <xf numFmtId="0" fontId="17" fillId="0" borderId="0" xfId="59" applyFont="1">
      <alignment/>
      <protection/>
    </xf>
    <xf numFmtId="0" fontId="2" fillId="0" borderId="18" xfId="59" applyFont="1" applyBorder="1" applyAlignment="1">
      <alignment horizontal="centerContinuous"/>
      <protection/>
    </xf>
    <xf numFmtId="0" fontId="2" fillId="0" borderId="19" xfId="59" applyFont="1" applyBorder="1" applyAlignment="1">
      <alignment horizontal="centerContinuous"/>
      <protection/>
    </xf>
    <xf numFmtId="0" fontId="2" fillId="0" borderId="20" xfId="59" applyFont="1" applyBorder="1" applyAlignment="1">
      <alignment horizontal="centerContinuous"/>
      <protection/>
    </xf>
    <xf numFmtId="0" fontId="17" fillId="0" borderId="0" xfId="59" applyFont="1" applyAlignment="1">
      <alignment vertical="top"/>
      <protection/>
    </xf>
    <xf numFmtId="0" fontId="2" fillId="0" borderId="17" xfId="59" applyFont="1" applyBorder="1">
      <alignment/>
      <protection/>
    </xf>
    <xf numFmtId="0" fontId="2" fillId="0" borderId="15" xfId="59" applyFont="1" applyBorder="1">
      <alignment/>
      <protection/>
    </xf>
    <xf numFmtId="0" fontId="2" fillId="0" borderId="16" xfId="59" applyFont="1" applyBorder="1" applyProtection="1">
      <alignment/>
      <protection locked="0"/>
    </xf>
    <xf numFmtId="0" fontId="2" fillId="0" borderId="11" xfId="59" applyFont="1" applyBorder="1">
      <alignment/>
      <protection/>
    </xf>
    <xf numFmtId="0" fontId="2" fillId="0" borderId="0" xfId="59" applyFont="1" applyBorder="1">
      <alignment/>
      <protection/>
    </xf>
    <xf numFmtId="0" fontId="2" fillId="0" borderId="12" xfId="59" applyFont="1" applyBorder="1" applyProtection="1">
      <alignment/>
      <protection locked="0"/>
    </xf>
    <xf numFmtId="0" fontId="2" fillId="0" borderId="0" xfId="59" applyFont="1" applyAlignment="1">
      <alignment vertical="top"/>
      <protection/>
    </xf>
    <xf numFmtId="0" fontId="2" fillId="0" borderId="0" xfId="59" applyFont="1" applyFill="1">
      <alignment/>
      <protection/>
    </xf>
    <xf numFmtId="0" fontId="2" fillId="0" borderId="11" xfId="59" applyFont="1" applyFill="1" applyBorder="1">
      <alignment/>
      <protection/>
    </xf>
    <xf numFmtId="0" fontId="2" fillId="0" borderId="0" xfId="59" applyFont="1" applyFill="1" applyBorder="1">
      <alignment/>
      <protection/>
    </xf>
    <xf numFmtId="0" fontId="2" fillId="0" borderId="12" xfId="59" applyFont="1" applyFill="1" applyBorder="1">
      <alignment/>
      <protection/>
    </xf>
    <xf numFmtId="0" fontId="2" fillId="0" borderId="13" xfId="59" applyFont="1" applyFill="1" applyBorder="1">
      <alignment/>
      <protection/>
    </xf>
    <xf numFmtId="0" fontId="2" fillId="0" borderId="10" xfId="59" applyFont="1" applyFill="1" applyBorder="1">
      <alignment/>
      <protection/>
    </xf>
    <xf numFmtId="0" fontId="0" fillId="0" borderId="14" xfId="59" applyFont="1" applyBorder="1">
      <alignment/>
      <protection/>
    </xf>
    <xf numFmtId="0" fontId="0" fillId="0" borderId="17" xfId="59" applyFont="1" applyBorder="1" applyAlignment="1">
      <alignment vertical="top"/>
      <protection/>
    </xf>
    <xf numFmtId="0" fontId="0" fillId="0" borderId="15" xfId="59" applyFont="1" applyBorder="1">
      <alignment/>
      <protection/>
    </xf>
    <xf numFmtId="0" fontId="6" fillId="0" borderId="15" xfId="59" applyFont="1" applyBorder="1" applyProtection="1">
      <alignment/>
      <protection locked="0"/>
    </xf>
    <xf numFmtId="0" fontId="6" fillId="0" borderId="15" xfId="59" applyFont="1" applyBorder="1">
      <alignment/>
      <protection/>
    </xf>
    <xf numFmtId="0" fontId="2" fillId="0" borderId="16" xfId="59" applyFont="1" applyBorder="1">
      <alignment/>
      <protection/>
    </xf>
    <xf numFmtId="0" fontId="0" fillId="0" borderId="11" xfId="59" applyFont="1" applyBorder="1" applyAlignment="1">
      <alignment vertical="top"/>
      <protection/>
    </xf>
    <xf numFmtId="0" fontId="0" fillId="0" borderId="0" xfId="59" applyFont="1" applyBorder="1">
      <alignment/>
      <protection/>
    </xf>
    <xf numFmtId="0" fontId="6" fillId="0" borderId="0" xfId="59" applyFont="1" applyBorder="1" applyProtection="1">
      <alignment/>
      <protection locked="0"/>
    </xf>
    <xf numFmtId="0" fontId="2" fillId="0" borderId="12" xfId="59" applyFont="1" applyBorder="1">
      <alignment/>
      <protection/>
    </xf>
    <xf numFmtId="0" fontId="0" fillId="0" borderId="0" xfId="59" applyFont="1" applyBorder="1" applyAlignment="1">
      <alignment horizontal="left" vertical="top"/>
      <protection/>
    </xf>
    <xf numFmtId="0" fontId="18" fillId="0" borderId="12" xfId="59" applyFont="1" applyBorder="1">
      <alignment/>
      <protection/>
    </xf>
    <xf numFmtId="0" fontId="2" fillId="0" borderId="11" xfId="59" applyFont="1" applyBorder="1" applyAlignment="1">
      <alignment vertical="top"/>
      <protection/>
    </xf>
    <xf numFmtId="0" fontId="19" fillId="0" borderId="0" xfId="59" applyFont="1">
      <alignment/>
      <protection/>
    </xf>
    <xf numFmtId="0" fontId="0" fillId="0" borderId="0" xfId="59" applyFont="1">
      <alignment/>
      <protection/>
    </xf>
    <xf numFmtId="0" fontId="0" fillId="0" borderId="11" xfId="59" applyFont="1" applyBorder="1">
      <alignment/>
      <protection/>
    </xf>
    <xf numFmtId="0" fontId="0" fillId="0" borderId="12" xfId="59" applyFont="1" applyBorder="1">
      <alignment/>
      <protection/>
    </xf>
    <xf numFmtId="0" fontId="20" fillId="0" borderId="0" xfId="59" applyFont="1">
      <alignment/>
      <protection/>
    </xf>
    <xf numFmtId="0" fontId="0" fillId="0" borderId="0" xfId="59" applyFont="1" applyFill="1">
      <alignment/>
      <protection/>
    </xf>
    <xf numFmtId="0" fontId="0" fillId="0" borderId="0" xfId="59" applyFont="1" applyBorder="1" applyAlignment="1">
      <alignment horizontal="center"/>
      <protection/>
    </xf>
    <xf numFmtId="0" fontId="21" fillId="0" borderId="0" xfId="59" applyFont="1">
      <alignment/>
      <protection/>
    </xf>
    <xf numFmtId="0" fontId="20" fillId="0" borderId="0" xfId="59" applyFont="1" applyAlignment="1">
      <alignment horizontal="center"/>
      <protection/>
    </xf>
    <xf numFmtId="0" fontId="0" fillId="0" borderId="0" xfId="59" applyFont="1" applyAlignment="1">
      <alignment horizontal="center"/>
      <protection/>
    </xf>
    <xf numFmtId="0" fontId="0" fillId="0" borderId="11" xfId="59" applyFont="1" applyBorder="1" applyAlignment="1">
      <alignment horizontal="center" vertical="top"/>
      <protection/>
    </xf>
    <xf numFmtId="0" fontId="20" fillId="0" borderId="0" xfId="59" applyFont="1" applyAlignment="1" quotePrefix="1">
      <alignment horizontal="center"/>
      <protection/>
    </xf>
    <xf numFmtId="0" fontId="0" fillId="0" borderId="0" xfId="59" applyFont="1" applyFill="1" applyAlignment="1">
      <alignment horizontal="center"/>
      <protection/>
    </xf>
    <xf numFmtId="0" fontId="0" fillId="0" borderId="0" xfId="59" applyFont="1" applyAlignment="1">
      <alignment horizontal="center" vertical="top"/>
      <protection/>
    </xf>
    <xf numFmtId="0" fontId="0" fillId="0" borderId="13" xfId="59" applyFont="1" applyBorder="1" applyAlignment="1">
      <alignment horizontal="center" vertical="top"/>
      <protection/>
    </xf>
    <xf numFmtId="0" fontId="0" fillId="0" borderId="10" xfId="59" applyFont="1" applyBorder="1" applyAlignment="1">
      <alignment horizontal="center"/>
      <protection/>
    </xf>
    <xf numFmtId="0" fontId="2" fillId="0" borderId="10" xfId="59" applyFont="1" applyBorder="1" applyAlignment="1">
      <alignment horizontal="center"/>
      <protection/>
    </xf>
    <xf numFmtId="0" fontId="20" fillId="0" borderId="10" xfId="59" applyFont="1" applyBorder="1" applyAlignment="1">
      <alignment horizontal="center"/>
      <protection/>
    </xf>
    <xf numFmtId="0" fontId="7" fillId="0" borderId="10" xfId="59" applyFont="1" applyBorder="1">
      <alignment/>
      <protection/>
    </xf>
    <xf numFmtId="0" fontId="20" fillId="0" borderId="0" xfId="59" applyFont="1" applyBorder="1" applyAlignment="1">
      <alignment horizontal="center"/>
      <protection/>
    </xf>
    <xf numFmtId="0" fontId="0" fillId="0" borderId="10" xfId="59" applyFont="1" applyBorder="1" applyAlignment="1">
      <alignment horizontal="center" vertical="top"/>
      <protection/>
    </xf>
    <xf numFmtId="0" fontId="0" fillId="0" borderId="0" xfId="59" applyFont="1" applyFill="1" applyAlignment="1">
      <alignment horizontal="left"/>
      <protection/>
    </xf>
    <xf numFmtId="0" fontId="0" fillId="0" borderId="0" xfId="59" applyFont="1" applyAlignment="1">
      <alignment horizontal="right"/>
      <protection/>
    </xf>
    <xf numFmtId="0" fontId="6" fillId="0" borderId="11" xfId="59" applyFont="1" applyBorder="1" applyProtection="1">
      <alignment/>
      <protection locked="0"/>
    </xf>
    <xf numFmtId="0" fontId="2" fillId="35" borderId="0" xfId="59" applyFont="1" applyFill="1" applyBorder="1">
      <alignment/>
      <protection/>
    </xf>
    <xf numFmtId="0" fontId="20" fillId="0" borderId="0" xfId="59" applyFont="1" applyFill="1">
      <alignment/>
      <protection/>
    </xf>
    <xf numFmtId="0" fontId="2" fillId="0" borderId="0" xfId="59" applyFont="1" applyFill="1" applyAlignment="1">
      <alignment horizontal="left"/>
      <protection/>
    </xf>
    <xf numFmtId="4" fontId="19" fillId="0" borderId="0" xfId="44" applyFont="1" applyBorder="1" applyAlignment="1">
      <alignment/>
    </xf>
    <xf numFmtId="0" fontId="6" fillId="0" borderId="13" xfId="59" applyFont="1" applyBorder="1" applyProtection="1">
      <alignment/>
      <protection locked="0"/>
    </xf>
    <xf numFmtId="0" fontId="6" fillId="0" borderId="10" xfId="59" applyFont="1" applyBorder="1" applyProtection="1">
      <alignment/>
      <protection locked="0"/>
    </xf>
    <xf numFmtId="4" fontId="19" fillId="0" borderId="10" xfId="44" applyFont="1" applyBorder="1" applyAlignment="1">
      <alignment/>
    </xf>
    <xf numFmtId="0" fontId="2" fillId="0" borderId="14" xfId="59" applyFont="1" applyBorder="1">
      <alignment/>
      <protection/>
    </xf>
    <xf numFmtId="0" fontId="6" fillId="0" borderId="0" xfId="59" applyFont="1">
      <alignment/>
      <protection/>
    </xf>
    <xf numFmtId="0" fontId="2" fillId="0" borderId="0" xfId="59" applyFont="1" applyBorder="1" applyAlignment="1">
      <alignment horizontal="center"/>
      <protection/>
    </xf>
    <xf numFmtId="0" fontId="14" fillId="0" borderId="0" xfId="59">
      <alignment/>
      <protection/>
    </xf>
    <xf numFmtId="0" fontId="1" fillId="0" borderId="0" xfId="59" applyFont="1">
      <alignment/>
      <protection/>
    </xf>
    <xf numFmtId="0" fontId="14" fillId="0" borderId="0" xfId="59" applyBorder="1">
      <alignment/>
      <protection/>
    </xf>
    <xf numFmtId="4" fontId="2" fillId="0" borderId="0" xfId="59" applyNumberFormat="1" applyFont="1">
      <alignment/>
      <protection/>
    </xf>
    <xf numFmtId="0" fontId="2" fillId="1" borderId="0" xfId="59" applyFont="1" applyFill="1" applyBorder="1" applyProtection="1">
      <alignment/>
      <protection/>
    </xf>
    <xf numFmtId="0" fontId="8" fillId="0" borderId="0" xfId="59" applyFont="1">
      <alignment/>
      <protection/>
    </xf>
    <xf numFmtId="0" fontId="2" fillId="0" borderId="10" xfId="59" applyFont="1" applyBorder="1" applyAlignment="1">
      <alignment horizontal="centerContinuous"/>
      <protection/>
    </xf>
    <xf numFmtId="0" fontId="22" fillId="0" borderId="0" xfId="59" applyFont="1">
      <alignment/>
      <protection/>
    </xf>
    <xf numFmtId="0" fontId="2" fillId="36" borderId="17" xfId="59" applyFont="1" applyFill="1" applyBorder="1">
      <alignment/>
      <protection/>
    </xf>
    <xf numFmtId="0" fontId="2" fillId="36" borderId="15" xfId="59" applyFont="1" applyFill="1" applyBorder="1">
      <alignment/>
      <protection/>
    </xf>
    <xf numFmtId="0" fontId="2" fillId="37" borderId="15" xfId="59" applyFont="1" applyFill="1" applyBorder="1">
      <alignment/>
      <protection/>
    </xf>
    <xf numFmtId="0" fontId="2" fillId="38" borderId="15" xfId="59" applyFont="1" applyFill="1" applyBorder="1">
      <alignment/>
      <protection/>
    </xf>
    <xf numFmtId="0" fontId="2" fillId="39" borderId="15" xfId="59" applyFont="1" applyFill="1" applyBorder="1">
      <alignment/>
      <protection/>
    </xf>
    <xf numFmtId="0" fontId="2" fillId="40" borderId="15" xfId="59" applyFont="1" applyFill="1" applyBorder="1">
      <alignment/>
      <protection/>
    </xf>
    <xf numFmtId="0" fontId="2" fillId="41" borderId="15" xfId="59" applyFont="1" applyFill="1" applyBorder="1">
      <alignment/>
      <protection/>
    </xf>
    <xf numFmtId="0" fontId="2" fillId="0" borderId="0" xfId="59" applyFont="1" applyAlignment="1">
      <alignment horizontal="centerContinuous"/>
      <protection/>
    </xf>
    <xf numFmtId="0" fontId="2" fillId="0" borderId="0" xfId="59" applyFont="1" applyAlignment="1">
      <alignment horizontal="center"/>
      <protection/>
    </xf>
    <xf numFmtId="0" fontId="2" fillId="36" borderId="11" xfId="59" applyFont="1" applyFill="1" applyBorder="1" applyAlignment="1">
      <alignment horizontal="center"/>
      <protection/>
    </xf>
    <xf numFmtId="0" fontId="2" fillId="36" borderId="0" xfId="59" applyFont="1" applyFill="1" applyBorder="1" applyAlignment="1">
      <alignment horizontal="center"/>
      <protection/>
    </xf>
    <xf numFmtId="0" fontId="2" fillId="37" borderId="0" xfId="59" applyFont="1" applyFill="1" applyBorder="1" applyAlignment="1">
      <alignment horizontal="center"/>
      <protection/>
    </xf>
    <xf numFmtId="0" fontId="2" fillId="38" borderId="0" xfId="59" applyFont="1" applyFill="1" applyBorder="1" applyAlignment="1">
      <alignment horizontal="center"/>
      <protection/>
    </xf>
    <xf numFmtId="0" fontId="2" fillId="39" borderId="0" xfId="59" applyFont="1" applyFill="1" applyBorder="1" applyAlignment="1">
      <alignment horizontal="center"/>
      <protection/>
    </xf>
    <xf numFmtId="0" fontId="2" fillId="40" borderId="0" xfId="59" applyFont="1" applyFill="1" applyBorder="1" applyAlignment="1">
      <alignment horizontal="center"/>
      <protection/>
    </xf>
    <xf numFmtId="0" fontId="2" fillId="41" borderId="0" xfId="59" applyFont="1" applyFill="1" applyBorder="1" applyAlignment="1">
      <alignment horizontal="center"/>
      <protection/>
    </xf>
    <xf numFmtId="166" fontId="2" fillId="0" borderId="0" xfId="59" applyNumberFormat="1" applyFont="1">
      <alignment/>
      <protection/>
    </xf>
    <xf numFmtId="0" fontId="2" fillId="36" borderId="13" xfId="59" applyFont="1" applyFill="1" applyBorder="1">
      <alignment/>
      <protection/>
    </xf>
    <xf numFmtId="0" fontId="2" fillId="36" borderId="10" xfId="59" applyFont="1" applyFill="1" applyBorder="1">
      <alignment/>
      <protection/>
    </xf>
    <xf numFmtId="0" fontId="2" fillId="37" borderId="10" xfId="59" applyFont="1" applyFill="1" applyBorder="1">
      <alignment/>
      <protection/>
    </xf>
    <xf numFmtId="0" fontId="2" fillId="38" borderId="10" xfId="59" applyFont="1" applyFill="1" applyBorder="1">
      <alignment/>
      <protection/>
    </xf>
    <xf numFmtId="0" fontId="2" fillId="39" borderId="10" xfId="59" applyFont="1" applyFill="1" applyBorder="1">
      <alignment/>
      <protection/>
    </xf>
    <xf numFmtId="0" fontId="2" fillId="40" borderId="10" xfId="59" applyFont="1" applyFill="1" applyBorder="1">
      <alignment/>
      <protection/>
    </xf>
    <xf numFmtId="0" fontId="2" fillId="41" borderId="10" xfId="59" applyFont="1" applyFill="1" applyBorder="1">
      <alignment/>
      <protection/>
    </xf>
    <xf numFmtId="0" fontId="2" fillId="34" borderId="21" xfId="59" applyFont="1" applyFill="1" applyBorder="1" applyProtection="1">
      <alignment/>
      <protection/>
    </xf>
    <xf numFmtId="0" fontId="2" fillId="34" borderId="22" xfId="59" applyFont="1" applyFill="1" applyBorder="1" applyProtection="1">
      <alignment/>
      <protection/>
    </xf>
    <xf numFmtId="0" fontId="2" fillId="34" borderId="23" xfId="59" applyFont="1" applyFill="1" applyBorder="1" applyProtection="1">
      <alignment/>
      <protection/>
    </xf>
    <xf numFmtId="0" fontId="2" fillId="36" borderId="24" xfId="59" applyFont="1" applyFill="1" applyBorder="1">
      <alignment/>
      <protection/>
    </xf>
    <xf numFmtId="0" fontId="2" fillId="36" borderId="25" xfId="59" applyFont="1" applyFill="1" applyBorder="1">
      <alignment/>
      <protection/>
    </xf>
    <xf numFmtId="0" fontId="2" fillId="37" borderId="25" xfId="59" applyFont="1" applyFill="1" applyBorder="1">
      <alignment/>
      <protection/>
    </xf>
    <xf numFmtId="0" fontId="2" fillId="38" borderId="25" xfId="59" applyFont="1" applyFill="1" applyBorder="1">
      <alignment/>
      <protection/>
    </xf>
    <xf numFmtId="0" fontId="2" fillId="39" borderId="25" xfId="59" applyFont="1" applyFill="1" applyBorder="1">
      <alignment/>
      <protection/>
    </xf>
    <xf numFmtId="0" fontId="2" fillId="40" borderId="25" xfId="59" applyFont="1" applyFill="1" applyBorder="1">
      <alignment/>
      <protection/>
    </xf>
    <xf numFmtId="0" fontId="2" fillId="41" borderId="25" xfId="59" applyFont="1" applyFill="1" applyBorder="1">
      <alignment/>
      <protection/>
    </xf>
    <xf numFmtId="0" fontId="2" fillId="0" borderId="26" xfId="59" applyFont="1" applyBorder="1">
      <alignment/>
      <protection/>
    </xf>
    <xf numFmtId="0" fontId="2" fillId="34" borderId="27" xfId="59" applyFont="1" applyFill="1" applyBorder="1" applyProtection="1">
      <alignment/>
      <protection/>
    </xf>
    <xf numFmtId="0" fontId="2" fillId="34" borderId="28" xfId="59" applyFont="1" applyFill="1" applyBorder="1" applyProtection="1">
      <alignment/>
      <protection/>
    </xf>
    <xf numFmtId="0" fontId="2" fillId="34" borderId="29" xfId="59" applyFont="1" applyFill="1" applyBorder="1" applyProtection="1">
      <alignment/>
      <protection/>
    </xf>
    <xf numFmtId="0" fontId="2" fillId="34" borderId="30" xfId="59" applyFont="1" applyFill="1" applyBorder="1" applyProtection="1">
      <alignment/>
      <protection/>
    </xf>
    <xf numFmtId="0" fontId="2" fillId="34" borderId="31" xfId="59" applyFont="1" applyFill="1" applyBorder="1" applyProtection="1">
      <alignment/>
      <protection/>
    </xf>
    <xf numFmtId="0" fontId="2" fillId="34" borderId="32" xfId="59" applyFont="1" applyFill="1" applyBorder="1" applyProtection="1">
      <alignment/>
      <protection/>
    </xf>
    <xf numFmtId="0" fontId="2" fillId="34" borderId="33" xfId="59" applyFont="1" applyFill="1" applyBorder="1" applyProtection="1">
      <alignment/>
      <protection/>
    </xf>
    <xf numFmtId="0" fontId="2" fillId="34" borderId="34" xfId="59" applyFont="1" applyFill="1" applyBorder="1" applyProtection="1">
      <alignment/>
      <protection/>
    </xf>
    <xf numFmtId="0" fontId="2" fillId="34" borderId="35" xfId="59" applyFont="1" applyFill="1" applyBorder="1" applyProtection="1">
      <alignment/>
      <protection/>
    </xf>
    <xf numFmtId="0" fontId="2" fillId="0" borderId="10" xfId="59" applyFont="1" applyBorder="1">
      <alignment/>
      <protection/>
    </xf>
    <xf numFmtId="0" fontId="2" fillId="36" borderId="36" xfId="59" applyFont="1" applyFill="1" applyBorder="1">
      <alignment/>
      <protection/>
    </xf>
    <xf numFmtId="0" fontId="2" fillId="36" borderId="37" xfId="59" applyFont="1" applyFill="1" applyBorder="1">
      <alignment/>
      <protection/>
    </xf>
    <xf numFmtId="0" fontId="2" fillId="36" borderId="38" xfId="59" applyFont="1" applyFill="1" applyBorder="1">
      <alignment/>
      <protection/>
    </xf>
    <xf numFmtId="0" fontId="2" fillId="36" borderId="39" xfId="59" applyFont="1" applyFill="1" applyBorder="1" applyAlignment="1">
      <alignment horizontal="center"/>
      <protection/>
    </xf>
    <xf numFmtId="0" fontId="5" fillId="0" borderId="10" xfId="0" applyFont="1" applyBorder="1" applyAlignment="1">
      <alignment/>
    </xf>
    <xf numFmtId="0" fontId="0" fillId="0" borderId="10" xfId="0" applyFill="1" applyBorder="1" applyAlignment="1">
      <alignment horizontal="center"/>
    </xf>
    <xf numFmtId="0" fontId="0" fillId="0" borderId="0" xfId="0" applyAlignment="1">
      <alignment horizontal="left"/>
    </xf>
    <xf numFmtId="0" fontId="23" fillId="0" borderId="0" xfId="0" applyFont="1" applyAlignment="1">
      <alignment horizontal="left"/>
    </xf>
    <xf numFmtId="0" fontId="24" fillId="0" borderId="0" xfId="0" applyFont="1" applyAlignment="1">
      <alignment horizontal="left" indent="1"/>
    </xf>
    <xf numFmtId="0" fontId="0" fillId="0" borderId="0" xfId="0" applyFill="1" applyBorder="1" applyAlignment="1">
      <alignment/>
    </xf>
    <xf numFmtId="43" fontId="0" fillId="0" borderId="0" xfId="42" applyFont="1" applyFill="1" applyBorder="1" applyAlignment="1">
      <alignment/>
    </xf>
    <xf numFmtId="0" fontId="5" fillId="0" borderId="10" xfId="0" applyFont="1" applyBorder="1" applyAlignment="1">
      <alignment/>
    </xf>
    <xf numFmtId="0" fontId="0" fillId="0" borderId="0" xfId="0" applyFont="1" applyAlignment="1">
      <alignment/>
    </xf>
    <xf numFmtId="165" fontId="0" fillId="0" borderId="0" xfId="42" applyNumberFormat="1" applyFont="1" applyAlignment="1">
      <alignment/>
    </xf>
    <xf numFmtId="165" fontId="0" fillId="0" borderId="0" xfId="0" applyNumberFormat="1" applyAlignment="1">
      <alignment/>
    </xf>
    <xf numFmtId="0" fontId="2" fillId="0" borderId="0" xfId="0" applyFont="1" applyAlignment="1">
      <alignment/>
    </xf>
    <xf numFmtId="43" fontId="0" fillId="0" borderId="0" xfId="42" applyFont="1" applyBorder="1" applyAlignment="1">
      <alignment/>
    </xf>
    <xf numFmtId="0" fontId="0" fillId="0" borderId="0" xfId="0" applyBorder="1" applyAlignment="1">
      <alignment horizontal="left"/>
    </xf>
    <xf numFmtId="173" fontId="0" fillId="0" borderId="0" xfId="42" applyNumberFormat="1" applyFont="1" applyAlignment="1">
      <alignment/>
    </xf>
    <xf numFmtId="0" fontId="25" fillId="0" borderId="0" xfId="0" applyFont="1" applyAlignment="1">
      <alignment/>
    </xf>
    <xf numFmtId="0" fontId="2" fillId="0" borderId="0" xfId="0" applyFont="1" applyAlignment="1" applyProtection="1">
      <alignment/>
      <protection/>
    </xf>
    <xf numFmtId="0" fontId="2" fillId="42" borderId="18" xfId="0" applyFont="1" applyFill="1" applyBorder="1" applyAlignment="1" applyProtection="1">
      <alignment horizontal="centerContinuous"/>
      <protection/>
    </xf>
    <xf numFmtId="0" fontId="2" fillId="42" borderId="19" xfId="0" applyFont="1" applyFill="1" applyBorder="1" applyAlignment="1" applyProtection="1">
      <alignment horizontal="centerContinuous"/>
      <protection/>
    </xf>
    <xf numFmtId="0" fontId="2" fillId="42" borderId="20" xfId="0" applyFont="1" applyFill="1" applyBorder="1" applyAlignment="1" applyProtection="1">
      <alignment horizontal="centerContinuous"/>
      <protection/>
    </xf>
    <xf numFmtId="0" fontId="2" fillId="42" borderId="37" xfId="0" applyFont="1" applyFill="1" applyBorder="1" applyAlignment="1" applyProtection="1">
      <alignment horizontal="center"/>
      <protection/>
    </xf>
    <xf numFmtId="0" fontId="2" fillId="42" borderId="37" xfId="0" applyFont="1" applyFill="1" applyBorder="1" applyAlignment="1" applyProtection="1">
      <alignment/>
      <protection/>
    </xf>
    <xf numFmtId="0" fontId="2" fillId="34" borderId="39" xfId="0" applyFont="1" applyFill="1" applyBorder="1" applyAlignment="1" applyProtection="1">
      <alignment horizontal="center"/>
      <protection/>
    </xf>
    <xf numFmtId="174" fontId="2" fillId="34" borderId="39" xfId="42" applyNumberFormat="1" applyFont="1" applyFill="1" applyBorder="1" applyAlignment="1" applyProtection="1">
      <alignment horizontal="center"/>
      <protection/>
    </xf>
    <xf numFmtId="174" fontId="2" fillId="0" borderId="39" xfId="42" applyNumberFormat="1" applyFont="1" applyBorder="1" applyAlignment="1" applyProtection="1">
      <alignment horizontal="center"/>
      <protection/>
    </xf>
    <xf numFmtId="174" fontId="2" fillId="34" borderId="36" xfId="42" applyNumberFormat="1" applyFont="1" applyFill="1" applyBorder="1" applyAlignment="1" applyProtection="1">
      <alignment horizontal="center"/>
      <protection/>
    </xf>
    <xf numFmtId="174" fontId="2" fillId="0" borderId="36" xfId="42" applyNumberFormat="1" applyFont="1" applyBorder="1" applyAlignment="1" applyProtection="1">
      <alignment horizontal="center"/>
      <protection/>
    </xf>
    <xf numFmtId="0" fontId="2" fillId="33" borderId="39" xfId="0" applyFont="1" applyFill="1" applyBorder="1" applyAlignment="1" applyProtection="1">
      <alignment horizontal="center"/>
      <protection/>
    </xf>
    <xf numFmtId="0" fontId="2" fillId="33" borderId="36" xfId="0" applyFont="1" applyFill="1" applyBorder="1" applyAlignment="1" applyProtection="1">
      <alignment horizontal="center"/>
      <protection/>
    </xf>
    <xf numFmtId="0" fontId="0" fillId="0" borderId="17" xfId="0" applyBorder="1" applyAlignment="1">
      <alignment horizontal="centerContinuous"/>
    </xf>
    <xf numFmtId="0" fontId="0" fillId="0" borderId="15" xfId="0" applyBorder="1" applyAlignment="1">
      <alignment horizontal="centerContinuous"/>
    </xf>
    <xf numFmtId="0" fontId="0" fillId="0" borderId="15" xfId="0" applyFill="1" applyBorder="1" applyAlignment="1">
      <alignment horizontal="left"/>
    </xf>
    <xf numFmtId="0" fontId="0" fillId="0" borderId="13" xfId="0" applyBorder="1" applyAlignment="1">
      <alignment horizontal="center"/>
    </xf>
    <xf numFmtId="173" fontId="0" fillId="0" borderId="0" xfId="42" applyNumberFormat="1" applyFont="1" applyBorder="1" applyAlignment="1">
      <alignment/>
    </xf>
    <xf numFmtId="173" fontId="0" fillId="0" borderId="10" xfId="42" applyNumberFormat="1" applyFont="1" applyBorder="1" applyAlignment="1">
      <alignment/>
    </xf>
    <xf numFmtId="0" fontId="0" fillId="0" borderId="14" xfId="0" applyFill="1" applyBorder="1" applyAlignment="1">
      <alignment horizontal="center"/>
    </xf>
    <xf numFmtId="0" fontId="0" fillId="33" borderId="40" xfId="0" applyFill="1" applyBorder="1" applyAlignment="1">
      <alignment/>
    </xf>
    <xf numFmtId="0" fontId="0" fillId="33" borderId="41" xfId="0" applyFill="1" applyBorder="1" applyAlignment="1">
      <alignment/>
    </xf>
    <xf numFmtId="165" fontId="0" fillId="33" borderId="42" xfId="42" applyNumberFormat="1" applyFont="1" applyFill="1" applyBorder="1" applyAlignment="1">
      <alignment/>
    </xf>
    <xf numFmtId="0" fontId="0" fillId="33" borderId="43" xfId="0" applyFill="1" applyBorder="1" applyAlignment="1">
      <alignment/>
    </xf>
    <xf numFmtId="165" fontId="0" fillId="33" borderId="0" xfId="42" applyNumberFormat="1" applyFont="1" applyFill="1" applyAlignment="1">
      <alignment/>
    </xf>
    <xf numFmtId="173" fontId="6" fillId="0" borderId="0" xfId="42" applyNumberFormat="1" applyFont="1" applyAlignment="1">
      <alignment/>
    </xf>
    <xf numFmtId="9" fontId="6" fillId="0" borderId="0" xfId="0" applyNumberFormat="1" applyFont="1" applyAlignment="1">
      <alignment/>
    </xf>
    <xf numFmtId="164" fontId="0" fillId="0" borderId="0" xfId="42" applyNumberFormat="1" applyFont="1" applyAlignment="1">
      <alignment/>
    </xf>
    <xf numFmtId="43" fontId="0" fillId="34" borderId="0" xfId="0" applyNumberFormat="1" applyFill="1" applyAlignment="1">
      <alignment/>
    </xf>
    <xf numFmtId="178" fontId="0" fillId="0" borderId="0" xfId="42" applyNumberFormat="1" applyFont="1" applyAlignment="1">
      <alignment/>
    </xf>
    <xf numFmtId="173" fontId="0" fillId="34" borderId="0" xfId="42" applyNumberFormat="1" applyFont="1" applyFill="1" applyAlignment="1">
      <alignment/>
    </xf>
    <xf numFmtId="0" fontId="5" fillId="0" borderId="0" xfId="0" applyFont="1" applyAlignment="1">
      <alignment/>
    </xf>
    <xf numFmtId="173" fontId="0" fillId="0" borderId="0" xfId="42" applyNumberFormat="1" applyFont="1" applyFill="1" applyAlignment="1">
      <alignment/>
    </xf>
    <xf numFmtId="172" fontId="0" fillId="0" borderId="0" xfId="42" applyNumberFormat="1" applyFont="1" applyAlignment="1">
      <alignment/>
    </xf>
    <xf numFmtId="165" fontId="0" fillId="34" borderId="0" xfId="42" applyNumberFormat="1" applyFont="1" applyFill="1" applyAlignment="1">
      <alignment/>
    </xf>
    <xf numFmtId="176" fontId="0" fillId="0" borderId="0" xfId="42" applyNumberFormat="1" applyFont="1" applyAlignment="1">
      <alignment/>
    </xf>
    <xf numFmtId="11" fontId="0" fillId="0" borderId="0" xfId="0" applyNumberFormat="1" applyAlignment="1">
      <alignment/>
    </xf>
    <xf numFmtId="0" fontId="0" fillId="0" borderId="14" xfId="0" applyBorder="1" applyAlignment="1">
      <alignment horizontal="center"/>
    </xf>
    <xf numFmtId="43" fontId="6" fillId="0" borderId="0" xfId="42" applyFont="1" applyBorder="1" applyAlignment="1" applyProtection="1">
      <alignment/>
      <protection locked="0"/>
    </xf>
    <xf numFmtId="173" fontId="6" fillId="0" borderId="0" xfId="42" applyNumberFormat="1" applyFont="1" applyBorder="1" applyAlignment="1" applyProtection="1">
      <alignment/>
      <protection locked="0"/>
    </xf>
    <xf numFmtId="43" fontId="6" fillId="0" borderId="10" xfId="42" applyFont="1" applyBorder="1" applyAlignment="1" applyProtection="1">
      <alignment/>
      <protection locked="0"/>
    </xf>
    <xf numFmtId="173" fontId="6" fillId="0" borderId="10" xfId="42" applyNumberFormat="1" applyFont="1" applyBorder="1" applyAlignment="1" applyProtection="1">
      <alignment/>
      <protection locked="0"/>
    </xf>
    <xf numFmtId="43" fontId="2" fillId="35" borderId="0" xfId="42" applyFont="1" applyFill="1" applyBorder="1" applyAlignment="1">
      <alignment/>
    </xf>
    <xf numFmtId="43" fontId="2" fillId="0" borderId="0" xfId="42" applyFont="1" applyFill="1" applyBorder="1" applyAlignment="1">
      <alignment/>
    </xf>
    <xf numFmtId="43" fontId="2" fillId="0" borderId="10" xfId="42" applyFont="1" applyFill="1" applyBorder="1" applyAlignment="1">
      <alignment/>
    </xf>
    <xf numFmtId="0" fontId="0" fillId="34" borderId="0" xfId="0" applyFill="1" applyAlignment="1">
      <alignment/>
    </xf>
    <xf numFmtId="0" fontId="26" fillId="43" borderId="0" xfId="0" applyFont="1" applyFill="1" applyAlignment="1">
      <alignment/>
    </xf>
    <xf numFmtId="43" fontId="0" fillId="41" borderId="0" xfId="42" applyFont="1" applyFill="1" applyAlignment="1">
      <alignment/>
    </xf>
    <xf numFmtId="43" fontId="0" fillId="0" borderId="0" xfId="42" applyNumberFormat="1" applyFont="1" applyAlignment="1">
      <alignment/>
    </xf>
    <xf numFmtId="43" fontId="0" fillId="41" borderId="0" xfId="0" applyNumberFormat="1" applyFont="1" applyFill="1" applyAlignment="1">
      <alignment/>
    </xf>
    <xf numFmtId="43" fontId="6" fillId="0" borderId="0" xfId="42" applyFont="1" applyAlignment="1">
      <alignment/>
    </xf>
    <xf numFmtId="43" fontId="0" fillId="41" borderId="0" xfId="0" applyNumberFormat="1" applyFill="1" applyAlignment="1">
      <alignment/>
    </xf>
    <xf numFmtId="0" fontId="2" fillId="34" borderId="0" xfId="0" applyFont="1" applyFill="1" applyAlignment="1">
      <alignment/>
    </xf>
    <xf numFmtId="0" fontId="0" fillId="42" borderId="0" xfId="0" applyFill="1" applyAlignment="1">
      <alignment/>
    </xf>
    <xf numFmtId="0" fontId="2" fillId="42" borderId="10" xfId="0" applyFont="1" applyFill="1" applyBorder="1" applyAlignment="1">
      <alignment horizontal="center"/>
    </xf>
    <xf numFmtId="0" fontId="0" fillId="41" borderId="0" xfId="0" applyFill="1" applyAlignment="1">
      <alignment/>
    </xf>
    <xf numFmtId="0" fontId="0" fillId="38" borderId="0" xfId="0" applyFill="1" applyAlignment="1">
      <alignment/>
    </xf>
    <xf numFmtId="164" fontId="0" fillId="0" borderId="0" xfId="0" applyNumberFormat="1" applyAlignment="1">
      <alignment/>
    </xf>
    <xf numFmtId="0" fontId="2" fillId="0" borderId="0" xfId="0" applyFont="1" applyFill="1" applyAlignment="1">
      <alignment horizontal="right"/>
    </xf>
    <xf numFmtId="0" fontId="2" fillId="0" borderId="0" xfId="0" applyFont="1" applyFill="1" applyBorder="1" applyAlignment="1">
      <alignment horizontal="right"/>
    </xf>
    <xf numFmtId="0" fontId="0" fillId="33" borderId="0" xfId="0" applyFont="1" applyFill="1" applyAlignment="1">
      <alignment/>
    </xf>
    <xf numFmtId="0" fontId="27" fillId="33" borderId="40" xfId="58" applyFont="1" applyFill="1" applyBorder="1" applyAlignment="1" applyProtection="1">
      <alignment vertical="top"/>
      <protection/>
    </xf>
    <xf numFmtId="0" fontId="0" fillId="33" borderId="44" xfId="58" applyFont="1" applyFill="1" applyBorder="1" applyAlignment="1" applyProtection="1">
      <alignment vertical="top"/>
      <protection/>
    </xf>
    <xf numFmtId="0" fontId="0" fillId="33" borderId="41" xfId="58" applyFont="1" applyFill="1" applyBorder="1" applyAlignment="1" applyProtection="1">
      <alignment vertical="top"/>
      <protection/>
    </xf>
    <xf numFmtId="0" fontId="1" fillId="33" borderId="45" xfId="58" applyFont="1" applyFill="1" applyBorder="1" applyAlignment="1" applyProtection="1">
      <alignment horizontal="centerContinuous" vertical="top"/>
      <protection/>
    </xf>
    <xf numFmtId="0" fontId="1" fillId="33" borderId="46" xfId="58" applyFont="1" applyFill="1" applyBorder="1" applyAlignment="1" applyProtection="1">
      <alignment horizontal="centerContinuous" vertical="top"/>
      <protection/>
    </xf>
    <xf numFmtId="0" fontId="1" fillId="33" borderId="47" xfId="58" applyFont="1" applyFill="1" applyBorder="1" applyAlignment="1" applyProtection="1">
      <alignment horizontal="centerContinuous" vertical="top"/>
      <protection/>
    </xf>
    <xf numFmtId="0" fontId="0" fillId="0" borderId="0" xfId="0" applyFont="1" applyAlignment="1">
      <alignment/>
    </xf>
    <xf numFmtId="0" fontId="27" fillId="33" borderId="48" xfId="58" applyFont="1" applyFill="1" applyBorder="1" applyAlignment="1" applyProtection="1">
      <alignment vertical="top"/>
      <protection/>
    </xf>
    <xf numFmtId="0" fontId="0" fillId="33" borderId="0" xfId="58" applyFont="1" applyFill="1" applyBorder="1" applyAlignment="1" applyProtection="1">
      <alignment vertical="top"/>
      <protection/>
    </xf>
    <xf numFmtId="0" fontId="0" fillId="33" borderId="49" xfId="58" applyFont="1" applyFill="1" applyBorder="1" applyAlignment="1" applyProtection="1">
      <alignment vertical="top"/>
      <protection/>
    </xf>
    <xf numFmtId="0" fontId="28" fillId="33" borderId="40" xfId="58" applyFont="1" applyFill="1" applyBorder="1" applyAlignment="1" applyProtection="1">
      <alignment horizontal="left" vertical="top"/>
      <protection/>
    </xf>
    <xf numFmtId="0" fontId="2" fillId="33" borderId="41" xfId="58" applyFont="1" applyFill="1" applyBorder="1" applyAlignment="1" applyProtection="1">
      <alignment horizontal="left" vertical="top"/>
      <protection/>
    </xf>
    <xf numFmtId="0" fontId="0" fillId="33" borderId="42" xfId="58" applyFont="1" applyFill="1" applyBorder="1" applyAlignment="1" applyProtection="1">
      <alignment vertical="top"/>
      <protection/>
    </xf>
    <xf numFmtId="0" fontId="0" fillId="33" borderId="50" xfId="58" applyFont="1" applyFill="1" applyBorder="1" applyAlignment="1" applyProtection="1">
      <alignment vertical="top"/>
      <protection/>
    </xf>
    <xf numFmtId="0" fontId="0" fillId="33" borderId="43" xfId="58" applyFont="1" applyFill="1" applyBorder="1" applyAlignment="1" applyProtection="1">
      <alignment vertical="top"/>
      <protection/>
    </xf>
    <xf numFmtId="0" fontId="8" fillId="33" borderId="42" xfId="58" applyFont="1" applyFill="1" applyBorder="1" applyAlignment="1" applyProtection="1">
      <alignment horizontal="centerContinuous" vertical="top"/>
      <protection locked="0"/>
    </xf>
    <xf numFmtId="0" fontId="8" fillId="33" borderId="43" xfId="58" applyFont="1" applyFill="1" applyBorder="1" applyAlignment="1" applyProtection="1">
      <alignment horizontal="centerContinuous" vertical="top"/>
      <protection/>
    </xf>
    <xf numFmtId="0" fontId="2" fillId="33" borderId="42" xfId="58" applyFont="1" applyFill="1" applyBorder="1" applyAlignment="1" applyProtection="1">
      <alignment horizontal="centerContinuous" vertical="top"/>
      <protection locked="0"/>
    </xf>
    <xf numFmtId="0" fontId="2" fillId="33" borderId="43" xfId="58" applyFont="1" applyFill="1" applyBorder="1" applyAlignment="1" applyProtection="1">
      <alignment horizontal="centerContinuous" vertical="top"/>
      <protection/>
    </xf>
    <xf numFmtId="0" fontId="2" fillId="33" borderId="51" xfId="58" applyFont="1" applyFill="1" applyBorder="1" applyAlignment="1" applyProtection="1">
      <alignment horizontal="center" vertical="top"/>
      <protection/>
    </xf>
    <xf numFmtId="0" fontId="2" fillId="33" borderId="13" xfId="58" applyFont="1" applyFill="1" applyBorder="1" applyAlignment="1" applyProtection="1">
      <alignment horizontal="centerContinuous" vertical="top"/>
      <protection/>
    </xf>
    <xf numFmtId="0" fontId="2" fillId="33" borderId="14" xfId="58" applyFont="1" applyFill="1" applyBorder="1" applyAlignment="1" applyProtection="1">
      <alignment horizontal="centerContinuous" vertical="top"/>
      <protection/>
    </xf>
    <xf numFmtId="0" fontId="2" fillId="33" borderId="10" xfId="58" applyFont="1" applyFill="1" applyBorder="1" applyAlignment="1" applyProtection="1">
      <alignment horizontal="centerContinuous" vertical="top"/>
      <protection/>
    </xf>
    <xf numFmtId="0" fontId="29" fillId="33" borderId="52" xfId="58" applyFont="1" applyFill="1" applyBorder="1" applyAlignment="1" applyProtection="1">
      <alignment horizontal="center" vertical="top"/>
      <protection/>
    </xf>
    <xf numFmtId="0" fontId="2" fillId="33" borderId="18" xfId="58" applyFont="1" applyFill="1" applyBorder="1" applyAlignment="1" applyProtection="1">
      <alignment horizontal="left" vertical="top"/>
      <protection locked="0"/>
    </xf>
    <xf numFmtId="0" fontId="2" fillId="33" borderId="20" xfId="58" applyFont="1" applyFill="1" applyBorder="1" applyAlignment="1" applyProtection="1">
      <alignment horizontal="left" vertical="top"/>
      <protection/>
    </xf>
    <xf numFmtId="0" fontId="2" fillId="33" borderId="18" xfId="58" applyFont="1" applyFill="1" applyBorder="1" applyAlignment="1" applyProtection="1" quotePrefix="1">
      <alignment horizontal="left" vertical="top"/>
      <protection locked="0"/>
    </xf>
    <xf numFmtId="0" fontId="2" fillId="33" borderId="19"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xf>
    <xf numFmtId="0" fontId="28" fillId="33" borderId="41" xfId="58" applyFont="1" applyFill="1" applyBorder="1" applyAlignment="1" applyProtection="1">
      <alignment horizontal="left" vertical="top"/>
      <protection/>
    </xf>
    <xf numFmtId="0" fontId="29" fillId="33" borderId="53" xfId="58" applyFont="1" applyFill="1" applyBorder="1" applyAlignment="1" applyProtection="1">
      <alignment horizontal="center" vertical="top"/>
      <protection/>
    </xf>
    <xf numFmtId="0" fontId="2" fillId="33" borderId="54" xfId="58" applyFont="1" applyFill="1" applyBorder="1" applyAlignment="1" applyProtection="1">
      <alignment horizontal="left" vertical="top"/>
      <protection locked="0"/>
    </xf>
    <xf numFmtId="0" fontId="2" fillId="33" borderId="55" xfId="58" applyFont="1" applyFill="1" applyBorder="1" applyAlignment="1" applyProtection="1">
      <alignment horizontal="left" vertical="top"/>
      <protection/>
    </xf>
    <xf numFmtId="0" fontId="2" fillId="33" borderId="56" xfId="58" applyFont="1" applyFill="1" applyBorder="1" applyAlignment="1" applyProtection="1">
      <alignment horizontal="left" vertical="top"/>
      <protection/>
    </xf>
    <xf numFmtId="0" fontId="2" fillId="33" borderId="42" xfId="58" applyFont="1" applyFill="1" applyBorder="1" applyAlignment="1" applyProtection="1">
      <alignment horizontal="left" vertical="top"/>
      <protection locked="0"/>
    </xf>
    <xf numFmtId="0" fontId="2" fillId="33" borderId="43" xfId="58" applyFont="1" applyFill="1" applyBorder="1" applyAlignment="1" applyProtection="1" quotePrefix="1">
      <alignment horizontal="left" vertical="top"/>
      <protection locked="0"/>
    </xf>
    <xf numFmtId="0" fontId="8" fillId="33" borderId="57" xfId="58" applyFont="1" applyFill="1" applyBorder="1" applyAlignment="1" applyProtection="1">
      <alignment horizontal="centerContinuous" vertical="top"/>
      <protection locked="0"/>
    </xf>
    <xf numFmtId="0" fontId="2" fillId="33" borderId="58" xfId="58" applyFont="1" applyFill="1" applyBorder="1" applyAlignment="1" applyProtection="1">
      <alignment horizontal="centerContinuous" vertical="top"/>
      <protection/>
    </xf>
    <xf numFmtId="0" fontId="30" fillId="33" borderId="58" xfId="58" applyFont="1" applyFill="1" applyBorder="1" applyAlignment="1" applyProtection="1">
      <alignment horizontal="centerContinuous" vertical="top"/>
      <protection/>
    </xf>
    <xf numFmtId="0" fontId="30" fillId="33" borderId="59" xfId="58" applyFont="1" applyFill="1" applyBorder="1" applyAlignment="1" applyProtection="1">
      <alignment horizontal="centerContinuous" vertical="top"/>
      <protection/>
    </xf>
    <xf numFmtId="0" fontId="0" fillId="0" borderId="0" xfId="0" applyFont="1" applyAlignment="1">
      <alignment/>
    </xf>
    <xf numFmtId="0" fontId="2" fillId="33" borderId="52" xfId="58" applyFont="1" applyFill="1" applyBorder="1" applyAlignment="1" applyProtection="1">
      <alignment horizontal="center" vertical="top"/>
      <protection/>
    </xf>
    <xf numFmtId="0" fontId="2" fillId="33" borderId="18" xfId="58" applyFont="1" applyFill="1" applyBorder="1" applyAlignment="1" applyProtection="1">
      <alignment vertical="top"/>
      <protection/>
    </xf>
    <xf numFmtId="17" fontId="2" fillId="33" borderId="19" xfId="58" applyNumberFormat="1" applyFont="1" applyFill="1" applyBorder="1" applyAlignment="1" applyProtection="1" quotePrefix="1">
      <alignment vertical="top"/>
      <protection locked="0"/>
    </xf>
    <xf numFmtId="0" fontId="2" fillId="33" borderId="19" xfId="58" applyFont="1" applyFill="1" applyBorder="1" applyAlignment="1" applyProtection="1">
      <alignment vertical="top"/>
      <protection/>
    </xf>
    <xf numFmtId="0" fontId="2" fillId="33" borderId="19" xfId="58" applyFont="1" applyFill="1" applyBorder="1" applyAlignment="1" applyProtection="1">
      <alignment vertical="top"/>
      <protection locked="0"/>
    </xf>
    <xf numFmtId="0" fontId="0" fillId="33" borderId="0" xfId="58" applyFont="1" applyFill="1" applyAlignment="1">
      <alignment vertical="top"/>
      <protection/>
    </xf>
    <xf numFmtId="0" fontId="2" fillId="33" borderId="19" xfId="58" applyFont="1" applyFill="1" applyBorder="1" applyAlignment="1" applyProtection="1" quotePrefix="1">
      <alignment vertical="top"/>
      <protection locked="0"/>
    </xf>
    <xf numFmtId="0" fontId="2" fillId="33" borderId="60" xfId="58" applyFont="1" applyFill="1" applyBorder="1" applyAlignment="1" applyProtection="1">
      <alignment vertical="top"/>
      <protection/>
    </xf>
    <xf numFmtId="0" fontId="2" fillId="33" borderId="17" xfId="58" applyFont="1" applyFill="1" applyBorder="1" applyAlignment="1" applyProtection="1">
      <alignment vertical="top"/>
      <protection/>
    </xf>
    <xf numFmtId="0" fontId="2" fillId="33" borderId="15" xfId="58" applyFont="1" applyFill="1" applyBorder="1" applyAlignment="1" applyProtection="1">
      <alignment vertical="top"/>
      <protection/>
    </xf>
    <xf numFmtId="0" fontId="2" fillId="33" borderId="15" xfId="58" applyFont="1" applyFill="1" applyBorder="1" applyAlignment="1" applyProtection="1">
      <alignment horizontal="left" vertical="top"/>
      <protection/>
    </xf>
    <xf numFmtId="0" fontId="0" fillId="33" borderId="0" xfId="58" applyFont="1" applyFill="1" applyAlignment="1">
      <alignment horizontal="right"/>
      <protection/>
    </xf>
    <xf numFmtId="172" fontId="2" fillId="33" borderId="15" xfId="42" applyNumberFormat="1" applyFont="1" applyFill="1" applyBorder="1" applyAlignment="1" applyProtection="1">
      <alignment vertical="top"/>
      <protection/>
    </xf>
    <xf numFmtId="0" fontId="2" fillId="33" borderId="61" xfId="58" applyFont="1" applyFill="1" applyBorder="1" applyAlignment="1" applyProtection="1">
      <alignment horizontal="left" vertical="top"/>
      <protection/>
    </xf>
    <xf numFmtId="0" fontId="8" fillId="33" borderId="62" xfId="58" applyFont="1" applyFill="1" applyBorder="1" applyAlignment="1" applyProtection="1">
      <alignment horizontal="centerContinuous" vertical="top"/>
      <protection/>
    </xf>
    <xf numFmtId="0" fontId="2" fillId="33" borderId="46" xfId="58" applyFont="1" applyFill="1" applyBorder="1" applyAlignment="1" applyProtection="1">
      <alignment horizontal="centerContinuous" vertical="top"/>
      <protection/>
    </xf>
    <xf numFmtId="0" fontId="2" fillId="33" borderId="47" xfId="58" applyFont="1" applyFill="1" applyBorder="1" applyAlignment="1" applyProtection="1">
      <alignment horizontal="centerContinuous" vertical="top"/>
      <protection/>
    </xf>
    <xf numFmtId="0" fontId="2" fillId="33" borderId="62" xfId="58" applyFont="1" applyFill="1" applyBorder="1" applyAlignment="1" applyProtection="1">
      <alignment horizontal="centerContinuous" vertical="top"/>
      <protection/>
    </xf>
    <xf numFmtId="0" fontId="2" fillId="33" borderId="63" xfId="58" applyFont="1" applyFill="1" applyBorder="1" applyAlignment="1" applyProtection="1">
      <alignment horizontal="centerContinuous" vertical="top"/>
      <protection/>
    </xf>
    <xf numFmtId="0" fontId="2" fillId="33" borderId="19" xfId="58" applyFont="1" applyFill="1" applyBorder="1" applyAlignment="1" applyProtection="1">
      <alignment horizontal="center" vertical="top"/>
      <protection/>
    </xf>
    <xf numFmtId="0" fontId="2" fillId="33" borderId="18" xfId="58" applyFont="1" applyFill="1" applyBorder="1" applyAlignment="1" applyProtection="1">
      <alignment horizontal="centerContinuous" vertical="top"/>
      <protection/>
    </xf>
    <xf numFmtId="0" fontId="2" fillId="33" borderId="20" xfId="58" applyFont="1" applyFill="1" applyBorder="1" applyAlignment="1" applyProtection="1">
      <alignment horizontal="centerContinuous" vertical="top"/>
      <protection/>
    </xf>
    <xf numFmtId="0" fontId="2" fillId="33" borderId="19" xfId="58" applyFont="1" applyFill="1" applyBorder="1">
      <alignment/>
      <protection/>
    </xf>
    <xf numFmtId="0" fontId="2" fillId="33" borderId="19" xfId="58" applyFont="1" applyFill="1" applyBorder="1" applyAlignment="1" applyProtection="1">
      <alignment horizontal="right" vertical="top"/>
      <protection/>
    </xf>
    <xf numFmtId="3" fontId="2" fillId="33" borderId="18" xfId="58" applyNumberFormat="1" applyFont="1" applyFill="1" applyBorder="1" applyAlignment="1" applyProtection="1">
      <alignment horizontal="centerContinuous" vertical="top"/>
      <protection/>
    </xf>
    <xf numFmtId="0" fontId="2" fillId="33" borderId="18" xfId="58" applyFont="1" applyFill="1" applyBorder="1" applyAlignment="1" applyProtection="1">
      <alignment horizontal="left" vertical="top" indent="1"/>
      <protection/>
    </xf>
    <xf numFmtId="172" fontId="2" fillId="33" borderId="37" xfId="42" applyNumberFormat="1" applyFont="1" applyFill="1" applyBorder="1" applyAlignment="1" applyProtection="1">
      <alignment vertical="top"/>
      <protection/>
    </xf>
    <xf numFmtId="43" fontId="2" fillId="33" borderId="37" xfId="42" applyFont="1" applyFill="1" applyBorder="1" applyAlignment="1" applyProtection="1">
      <alignment vertical="top"/>
      <protection/>
    </xf>
    <xf numFmtId="43" fontId="2" fillId="33" borderId="37" xfId="42" applyNumberFormat="1" applyFont="1" applyFill="1" applyBorder="1" applyAlignment="1" applyProtection="1">
      <alignment vertical="top"/>
      <protection/>
    </xf>
    <xf numFmtId="43" fontId="2" fillId="33" borderId="19" xfId="58" applyNumberFormat="1" applyFont="1" applyFill="1" applyBorder="1" applyAlignment="1" applyProtection="1">
      <alignment vertical="top"/>
      <protection/>
    </xf>
    <xf numFmtId="43" fontId="2" fillId="33" borderId="37" xfId="42" applyNumberFormat="1" applyFont="1" applyFill="1" applyBorder="1" applyAlignment="1" applyProtection="1">
      <alignment vertical="top"/>
      <protection locked="0"/>
    </xf>
    <xf numFmtId="0" fontId="2" fillId="33" borderId="18" xfId="42" applyNumberFormat="1" applyFont="1" applyFill="1" applyBorder="1" applyAlignment="1" applyProtection="1">
      <alignment horizontal="centerContinuous" vertical="top"/>
      <protection locked="0"/>
    </xf>
    <xf numFmtId="188" fontId="2" fillId="33" borderId="18" xfId="58" applyNumberFormat="1" applyFont="1" applyFill="1" applyBorder="1" applyAlignment="1" applyProtection="1">
      <alignment horizontal="centerContinuous" vertical="top"/>
      <protection/>
    </xf>
    <xf numFmtId="2" fontId="2" fillId="33" borderId="18" xfId="58" applyNumberFormat="1" applyFont="1" applyFill="1" applyBorder="1" applyAlignment="1" applyProtection="1">
      <alignment horizontal="centerContinuous" vertical="top"/>
      <protection/>
    </xf>
    <xf numFmtId="185" fontId="2" fillId="33" borderId="18" xfId="58" applyNumberFormat="1" applyFont="1" applyFill="1" applyBorder="1" applyAlignment="1" applyProtection="1">
      <alignment horizontal="centerContinuous" vertical="top"/>
      <protection/>
    </xf>
    <xf numFmtId="37" fontId="2" fillId="33" borderId="19" xfId="58" applyNumberFormat="1" applyFont="1" applyFill="1" applyBorder="1" applyAlignment="1" applyProtection="1">
      <alignment horizontal="centerContinuous" vertical="top"/>
      <protection/>
    </xf>
    <xf numFmtId="0" fontId="2" fillId="33" borderId="19" xfId="58" applyFont="1" applyFill="1" applyBorder="1" applyAlignment="1" applyProtection="1">
      <alignment horizontal="centerContinuous" vertical="top"/>
      <protection/>
    </xf>
    <xf numFmtId="43" fontId="2" fillId="33" borderId="0" xfId="42" applyNumberFormat="1" applyFont="1" applyFill="1" applyBorder="1" applyAlignment="1" applyProtection="1">
      <alignment/>
      <protection/>
    </xf>
    <xf numFmtId="0" fontId="2" fillId="33" borderId="54" xfId="58" applyFont="1" applyFill="1" applyBorder="1" applyAlignment="1" applyProtection="1">
      <alignment vertical="top"/>
      <protection/>
    </xf>
    <xf numFmtId="0" fontId="2" fillId="33" borderId="64" xfId="58" applyFont="1" applyFill="1" applyBorder="1" applyAlignment="1" applyProtection="1">
      <alignment vertical="top"/>
      <protection/>
    </xf>
    <xf numFmtId="0" fontId="2" fillId="33" borderId="64" xfId="58" applyFont="1" applyFill="1" applyBorder="1" applyAlignment="1" applyProtection="1">
      <alignment horizontal="left" vertical="top"/>
      <protection/>
    </xf>
    <xf numFmtId="0" fontId="2" fillId="33" borderId="64" xfId="58" applyFont="1" applyFill="1" applyBorder="1">
      <alignment/>
      <protection/>
    </xf>
    <xf numFmtId="165" fontId="2" fillId="33" borderId="64" xfId="42" applyNumberFormat="1" applyFont="1" applyFill="1" applyBorder="1" applyAlignment="1" applyProtection="1">
      <alignment horizontal="left" vertical="top"/>
      <protection locked="0"/>
    </xf>
    <xf numFmtId="165" fontId="2" fillId="33" borderId="64" xfId="42" applyNumberFormat="1" applyFont="1" applyFill="1" applyBorder="1" applyAlignment="1" applyProtection="1">
      <alignment horizontal="left" vertical="top"/>
      <protection/>
    </xf>
    <xf numFmtId="0" fontId="2" fillId="33" borderId="64" xfId="58" applyFont="1" applyFill="1" applyBorder="1" applyAlignment="1" applyProtection="1">
      <alignment horizontal="centerContinuous" vertical="top"/>
      <protection/>
    </xf>
    <xf numFmtId="0" fontId="2" fillId="33" borderId="56" xfId="58" applyFont="1" applyFill="1" applyBorder="1" applyAlignment="1" applyProtection="1">
      <alignment vertical="top"/>
      <protection/>
    </xf>
    <xf numFmtId="0" fontId="2" fillId="33" borderId="13" xfId="58" applyFont="1" applyFill="1" applyBorder="1" applyAlignment="1" applyProtection="1">
      <alignment vertical="top"/>
      <protection/>
    </xf>
    <xf numFmtId="0" fontId="2" fillId="33" borderId="10" xfId="58" applyFont="1" applyFill="1" applyBorder="1" applyAlignment="1" applyProtection="1">
      <alignment vertical="top"/>
      <protection/>
    </xf>
    <xf numFmtId="0" fontId="2" fillId="33" borderId="40" xfId="58" applyFont="1" applyFill="1" applyBorder="1" applyAlignment="1" applyProtection="1">
      <alignment vertical="top"/>
      <protection/>
    </xf>
    <xf numFmtId="0" fontId="2" fillId="33" borderId="44" xfId="58" applyFont="1" applyFill="1" applyBorder="1" applyAlignment="1" applyProtection="1">
      <alignment vertical="top"/>
      <protection/>
    </xf>
    <xf numFmtId="0" fontId="2" fillId="33" borderId="41" xfId="58" applyFont="1" applyFill="1" applyBorder="1" applyAlignment="1" applyProtection="1">
      <alignment vertical="top"/>
      <protection/>
    </xf>
    <xf numFmtId="0" fontId="2" fillId="33" borderId="13" xfId="58" applyFont="1" applyFill="1" applyBorder="1" applyAlignment="1" applyProtection="1">
      <alignment horizontal="centerContinuous" vertical="top"/>
      <protection locked="0"/>
    </xf>
    <xf numFmtId="0" fontId="2" fillId="33" borderId="65" xfId="58" applyFont="1" applyFill="1" applyBorder="1" applyAlignment="1" applyProtection="1">
      <alignment horizontal="centerContinuous" vertical="top"/>
      <protection/>
    </xf>
    <xf numFmtId="0" fontId="2" fillId="33" borderId="19" xfId="58" applyFont="1" applyFill="1" applyBorder="1" applyAlignment="1" applyProtection="1">
      <alignment horizontal="centerContinuous" vertical="top"/>
      <protection locked="0"/>
    </xf>
    <xf numFmtId="0" fontId="2" fillId="33" borderId="48" xfId="58" applyFont="1" applyFill="1" applyBorder="1" applyAlignment="1" applyProtection="1">
      <alignment vertical="top"/>
      <protection/>
    </xf>
    <xf numFmtId="0" fontId="2" fillId="33" borderId="0" xfId="58" applyFont="1" applyFill="1" applyBorder="1" applyAlignment="1" applyProtection="1">
      <alignment vertical="top"/>
      <protection/>
    </xf>
    <xf numFmtId="0" fontId="2" fillId="33" borderId="49" xfId="58" applyFont="1" applyFill="1" applyBorder="1" applyAlignment="1" applyProtection="1">
      <alignment vertical="top"/>
      <protection/>
    </xf>
    <xf numFmtId="0" fontId="2" fillId="33" borderId="18" xfId="58" applyFont="1" applyFill="1" applyBorder="1" applyAlignment="1" applyProtection="1">
      <alignment horizontal="centerContinuous" vertical="top"/>
      <protection locked="0"/>
    </xf>
    <xf numFmtId="0" fontId="2" fillId="33" borderId="42" xfId="58" applyFont="1" applyFill="1" applyBorder="1" applyAlignment="1" applyProtection="1">
      <alignment vertical="top"/>
      <protection/>
    </xf>
    <xf numFmtId="0" fontId="2" fillId="33" borderId="50" xfId="58" applyFont="1" applyFill="1" applyBorder="1" applyAlignment="1" applyProtection="1">
      <alignment vertical="top"/>
      <protection/>
    </xf>
    <xf numFmtId="0" fontId="2" fillId="33" borderId="43" xfId="58" applyFont="1" applyFill="1" applyBorder="1" applyAlignment="1" applyProtection="1">
      <alignment vertical="top"/>
      <protection/>
    </xf>
    <xf numFmtId="0" fontId="8" fillId="33" borderId="18" xfId="58" applyFont="1" applyFill="1" applyBorder="1" applyAlignment="1" applyProtection="1">
      <alignment vertical="top"/>
      <protection/>
    </xf>
    <xf numFmtId="0" fontId="2" fillId="33" borderId="58" xfId="58" applyFont="1" applyFill="1" applyBorder="1" applyAlignment="1" applyProtection="1">
      <alignment horizontal="left" vertical="top"/>
      <protection/>
    </xf>
    <xf numFmtId="0" fontId="2" fillId="33" borderId="66" xfId="58" applyFont="1" applyFill="1" applyBorder="1" applyAlignment="1" applyProtection="1">
      <alignment horizontal="left" vertical="top"/>
      <protection/>
    </xf>
    <xf numFmtId="0" fontId="2" fillId="33" borderId="60" xfId="58" applyFont="1" applyFill="1" applyBorder="1" applyAlignment="1" applyProtection="1">
      <alignment horizontal="left" vertical="top"/>
      <protection/>
    </xf>
    <xf numFmtId="0" fontId="2" fillId="33" borderId="19" xfId="58" applyFont="1" applyFill="1" applyBorder="1" applyAlignment="1" applyProtection="1">
      <alignment horizontal="left" vertical="top"/>
      <protection locked="0"/>
    </xf>
    <xf numFmtId="0" fontId="2" fillId="33" borderId="19" xfId="58" applyFont="1" applyFill="1" applyBorder="1" applyAlignment="1" applyProtection="1">
      <alignment horizontal="center" vertical="top"/>
      <protection locked="0"/>
    </xf>
    <xf numFmtId="0" fontId="2" fillId="33" borderId="52" xfId="58" applyNumberFormat="1" applyFont="1" applyFill="1" applyBorder="1" applyAlignment="1" applyProtection="1">
      <alignment horizontal="center" vertical="top"/>
      <protection/>
    </xf>
    <xf numFmtId="9" fontId="2" fillId="33" borderId="19" xfId="58" applyNumberFormat="1" applyFont="1" applyFill="1" applyBorder="1" applyAlignment="1" applyProtection="1">
      <alignment horizontal="center" vertical="top"/>
      <protection locked="0"/>
    </xf>
    <xf numFmtId="43" fontId="2" fillId="33" borderId="60" xfId="58" applyNumberFormat="1" applyFont="1" applyFill="1" applyBorder="1" applyAlignment="1" applyProtection="1">
      <alignment horizontal="left" vertical="top"/>
      <protection locked="0"/>
    </xf>
    <xf numFmtId="0" fontId="2" fillId="33" borderId="15" xfId="58" applyFont="1" applyFill="1" applyBorder="1" applyAlignment="1" applyProtection="1">
      <alignment vertical="top"/>
      <protection locked="0"/>
    </xf>
    <xf numFmtId="0" fontId="2" fillId="33" borderId="15" xfId="58" applyFont="1" applyFill="1" applyBorder="1" applyAlignment="1" applyProtection="1">
      <alignment horizontal="center" vertical="top"/>
      <protection locked="0"/>
    </xf>
    <xf numFmtId="0" fontId="2" fillId="33" borderId="61" xfId="58" applyFont="1" applyFill="1" applyBorder="1" applyAlignment="1" applyProtection="1">
      <alignment vertical="top"/>
      <protection/>
    </xf>
    <xf numFmtId="0" fontId="2" fillId="33" borderId="67" xfId="58" applyFont="1" applyFill="1" applyBorder="1" applyAlignment="1" applyProtection="1">
      <alignment vertical="top"/>
      <protection/>
    </xf>
    <xf numFmtId="0" fontId="2" fillId="33" borderId="44" xfId="58" applyFont="1" applyFill="1" applyBorder="1" applyAlignment="1" applyProtection="1">
      <alignment vertical="top"/>
      <protection locked="0"/>
    </xf>
    <xf numFmtId="0" fontId="2" fillId="33" borderId="44" xfId="58" applyFont="1" applyFill="1" applyBorder="1" applyAlignment="1" applyProtection="1">
      <alignment horizontal="center" vertical="top"/>
      <protection locked="0"/>
    </xf>
    <xf numFmtId="0" fontId="2" fillId="33" borderId="44" xfId="58" applyFont="1" applyFill="1" applyBorder="1" applyAlignment="1" applyProtection="1">
      <alignment horizontal="center" vertical="top"/>
      <protection/>
    </xf>
    <xf numFmtId="0" fontId="2" fillId="33" borderId="11" xfId="58" applyFont="1" applyFill="1" applyBorder="1" applyAlignment="1" applyProtection="1">
      <alignment vertical="top"/>
      <protection locked="0"/>
    </xf>
    <xf numFmtId="0" fontId="2" fillId="33" borderId="0" xfId="58" applyFont="1" applyFill="1" applyBorder="1" applyAlignment="1" applyProtection="1">
      <alignment vertical="top"/>
      <protection locked="0"/>
    </xf>
    <xf numFmtId="0" fontId="2" fillId="33" borderId="0" xfId="58" applyFont="1" applyFill="1" applyBorder="1" applyAlignment="1" applyProtection="1">
      <alignment horizontal="center" vertical="top"/>
      <protection locked="0"/>
    </xf>
    <xf numFmtId="0" fontId="2" fillId="33" borderId="0" xfId="58" applyFont="1" applyFill="1" applyBorder="1" applyAlignment="1" applyProtection="1">
      <alignment horizontal="center" vertical="top"/>
      <protection/>
    </xf>
    <xf numFmtId="0" fontId="2" fillId="33" borderId="53" xfId="58" applyNumberFormat="1" applyFont="1" applyFill="1" applyBorder="1" applyAlignment="1" applyProtection="1">
      <alignment horizontal="center" vertical="top"/>
      <protection/>
    </xf>
    <xf numFmtId="0" fontId="2" fillId="33" borderId="68" xfId="58" applyFont="1" applyFill="1" applyBorder="1" applyAlignment="1" applyProtection="1">
      <alignment vertical="top"/>
      <protection locked="0"/>
    </xf>
    <xf numFmtId="0" fontId="2" fillId="33" borderId="50" xfId="58" applyFont="1" applyFill="1" applyBorder="1" applyAlignment="1" applyProtection="1">
      <alignment vertical="top"/>
      <protection locked="0"/>
    </xf>
    <xf numFmtId="0" fontId="2" fillId="33" borderId="50" xfId="58" applyFont="1" applyFill="1" applyBorder="1" applyAlignment="1" applyProtection="1">
      <alignment horizontal="center" vertical="top"/>
      <protection locked="0"/>
    </xf>
    <xf numFmtId="0" fontId="2" fillId="33" borderId="50" xfId="58" applyFont="1" applyFill="1" applyBorder="1" applyAlignment="1" applyProtection="1">
      <alignment horizontal="center" vertical="top"/>
      <protection/>
    </xf>
    <xf numFmtId="0" fontId="20" fillId="0" borderId="0" xfId="0" applyFont="1" applyAlignment="1">
      <alignment/>
    </xf>
    <xf numFmtId="0" fontId="5" fillId="0" borderId="0" xfId="0" applyFont="1" applyAlignment="1">
      <alignment horizontal="left" indent="1"/>
    </xf>
    <xf numFmtId="165" fontId="0" fillId="0" borderId="0" xfId="0" applyNumberFormat="1" applyFill="1" applyAlignment="1">
      <alignment/>
    </xf>
    <xf numFmtId="177" fontId="0" fillId="0" borderId="0" xfId="0" applyNumberFormat="1" applyAlignment="1">
      <alignment/>
    </xf>
    <xf numFmtId="165" fontId="31" fillId="33" borderId="37" xfId="42" applyNumberFormat="1" applyFont="1" applyFill="1" applyBorder="1" applyAlignment="1" applyProtection="1">
      <alignment vertical="center"/>
      <protection/>
    </xf>
    <xf numFmtId="0" fontId="2" fillId="33" borderId="19" xfId="58" applyFont="1" applyFill="1" applyBorder="1" applyAlignment="1" applyProtection="1">
      <alignment vertical="center"/>
      <protection/>
    </xf>
    <xf numFmtId="0" fontId="31" fillId="33" borderId="37" xfId="58" applyFont="1" applyFill="1" applyBorder="1" applyAlignment="1" applyProtection="1">
      <alignment vertical="center"/>
      <protection/>
    </xf>
    <xf numFmtId="9" fontId="0" fillId="0" borderId="0" xfId="62" applyNumberFormat="1" applyFont="1" applyAlignment="1">
      <alignment/>
    </xf>
    <xf numFmtId="173" fontId="0" fillId="41" borderId="0" xfId="0" applyNumberFormat="1" applyFill="1" applyAlignment="1">
      <alignment/>
    </xf>
    <xf numFmtId="0" fontId="1" fillId="33" borderId="0" xfId="0" applyFont="1" applyFill="1" applyAlignment="1">
      <alignment/>
    </xf>
    <xf numFmtId="0" fontId="0" fillId="33" borderId="0" xfId="0" applyFill="1" applyAlignment="1">
      <alignment wrapText="1"/>
    </xf>
    <xf numFmtId="43" fontId="0" fillId="0" borderId="0" xfId="0" applyNumberFormat="1" applyFill="1" applyAlignment="1">
      <alignment/>
    </xf>
    <xf numFmtId="0" fontId="0" fillId="0" borderId="0" xfId="0" applyFill="1" applyAlignment="1">
      <alignment/>
    </xf>
    <xf numFmtId="172" fontId="0" fillId="0" borderId="0" xfId="42" applyNumberFormat="1" applyFont="1" applyFill="1" applyAlignment="1">
      <alignment/>
    </xf>
    <xf numFmtId="43" fontId="0" fillId="0" borderId="0" xfId="42" applyFont="1" applyFill="1" applyAlignment="1">
      <alignment/>
    </xf>
    <xf numFmtId="0" fontId="26" fillId="43" borderId="0" xfId="0" applyFont="1" applyFill="1" applyAlignment="1">
      <alignment horizontal="center"/>
    </xf>
    <xf numFmtId="0" fontId="26" fillId="44" borderId="0" xfId="0" applyFont="1" applyFill="1" applyAlignment="1">
      <alignment horizontal="centerContinuous"/>
    </xf>
    <xf numFmtId="0" fontId="26" fillId="44" borderId="0" xfId="0" applyFont="1" applyFill="1" applyAlignment="1">
      <alignment horizontal="center"/>
    </xf>
    <xf numFmtId="0" fontId="26" fillId="45" borderId="0" xfId="0" applyFont="1" applyFill="1" applyAlignment="1">
      <alignment horizontal="center"/>
    </xf>
    <xf numFmtId="0" fontId="26" fillId="45" borderId="0" xfId="0" applyFont="1" applyFill="1" applyAlignment="1">
      <alignment horizontal="centerContinuous"/>
    </xf>
    <xf numFmtId="165" fontId="0" fillId="0" borderId="10" xfId="42" applyNumberFormat="1" applyFont="1" applyBorder="1" applyAlignment="1">
      <alignment/>
    </xf>
    <xf numFmtId="165" fontId="0" fillId="41" borderId="0" xfId="42" applyNumberFormat="1" applyFont="1" applyFill="1" applyAlignment="1">
      <alignment/>
    </xf>
    <xf numFmtId="165" fontId="0" fillId="41" borderId="0" xfId="0" applyNumberFormat="1" applyFill="1" applyAlignment="1">
      <alignment/>
    </xf>
    <xf numFmtId="165" fontId="0" fillId="34" borderId="0" xfId="0" applyNumberFormat="1" applyFill="1" applyAlignment="1">
      <alignment/>
    </xf>
    <xf numFmtId="165" fontId="2" fillId="33" borderId="19" xfId="42" applyNumberFormat="1" applyFont="1" applyFill="1" applyBorder="1" applyAlignment="1" applyProtection="1">
      <alignment vertical="top"/>
      <protection/>
    </xf>
    <xf numFmtId="165" fontId="2" fillId="33" borderId="19" xfId="42" applyNumberFormat="1" applyFont="1" applyFill="1" applyBorder="1" applyAlignment="1" applyProtection="1">
      <alignment vertical="top"/>
      <protection locked="0"/>
    </xf>
    <xf numFmtId="176" fontId="0" fillId="0" borderId="0" xfId="0" applyNumberFormat="1" applyAlignment="1">
      <alignment/>
    </xf>
    <xf numFmtId="0" fontId="0" fillId="42" borderId="0" xfId="0" applyFill="1" applyAlignment="1">
      <alignment horizontal="center"/>
    </xf>
    <xf numFmtId="0" fontId="2" fillId="33" borderId="20" xfId="58" applyFont="1" applyFill="1" applyBorder="1" applyAlignment="1" applyProtection="1">
      <alignment vertical="top"/>
      <protection/>
    </xf>
    <xf numFmtId="0" fontId="2" fillId="33" borderId="20" xfId="58" applyFont="1" applyFill="1" applyBorder="1" applyAlignment="1" applyProtection="1">
      <alignment horizontal="center" vertical="top"/>
      <protection/>
    </xf>
    <xf numFmtId="0" fontId="2" fillId="33" borderId="20" xfId="58" applyFont="1" applyFill="1" applyBorder="1" applyAlignment="1" applyProtection="1">
      <alignment horizontal="center" vertical="top"/>
      <protection locked="0"/>
    </xf>
    <xf numFmtId="0" fontId="2" fillId="33" borderId="65" xfId="58" applyFont="1" applyFill="1" applyBorder="1" applyAlignment="1" applyProtection="1">
      <alignment horizontal="left" vertical="top"/>
      <protection/>
    </xf>
    <xf numFmtId="0" fontId="0" fillId="33" borderId="20" xfId="0" applyFont="1" applyFill="1" applyBorder="1" applyAlignment="1" applyProtection="1">
      <alignment/>
      <protection/>
    </xf>
    <xf numFmtId="0" fontId="2" fillId="33" borderId="20" xfId="58" applyFont="1" applyFill="1" applyBorder="1" applyAlignment="1" applyProtection="1">
      <alignment horizontal="left" vertical="top"/>
      <protection locked="0"/>
    </xf>
    <xf numFmtId="0" fontId="2" fillId="33" borderId="20" xfId="58" applyFont="1" applyFill="1" applyBorder="1" applyAlignment="1" applyProtection="1">
      <alignment vertical="top"/>
      <protection locked="0"/>
    </xf>
    <xf numFmtId="0" fontId="2" fillId="33" borderId="55" xfId="58" applyFont="1" applyFill="1" applyBorder="1" applyAlignment="1" applyProtection="1">
      <alignment vertical="top"/>
      <protection/>
    </xf>
    <xf numFmtId="0" fontId="2" fillId="33" borderId="55" xfId="58" applyFont="1" applyFill="1" applyBorder="1" applyAlignment="1" applyProtection="1" quotePrefix="1">
      <alignment horizontal="left" vertical="top"/>
      <protection locked="0"/>
    </xf>
    <xf numFmtId="165" fontId="2" fillId="33" borderId="55" xfId="42" applyNumberFormat="1" applyFont="1" applyFill="1" applyBorder="1" applyAlignment="1" applyProtection="1">
      <alignment horizontal="left" vertical="top"/>
      <protection/>
    </xf>
    <xf numFmtId="0" fontId="0" fillId="33" borderId="0" xfId="0" applyFont="1" applyFill="1" applyAlignment="1">
      <alignment wrapText="1"/>
    </xf>
    <xf numFmtId="0" fontId="2" fillId="33" borderId="17" xfId="58" applyFont="1" applyFill="1" applyBorder="1" applyAlignment="1" applyProtection="1">
      <alignment horizontal="center" vertical="center" wrapText="1"/>
      <protection/>
    </xf>
    <xf numFmtId="0" fontId="0" fillId="33" borderId="1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13" xfId="0" applyFont="1" applyFill="1" applyBorder="1" applyAlignment="1">
      <alignment horizontal="center" vertical="center" wrapText="1"/>
    </xf>
    <xf numFmtId="0" fontId="0" fillId="33" borderId="1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TF Properties"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E-1311 datasheet" xfId="58"/>
    <cellStyle name="Normal_HTF Properties" xfId="59"/>
    <cellStyle name="Note" xfId="60"/>
    <cellStyle name="Output" xfId="61"/>
    <cellStyle name="Percent" xfId="62"/>
    <cellStyle name="Title" xfId="63"/>
    <cellStyle name="Total" xfId="64"/>
    <cellStyle name="Warning Text" xfId="65"/>
  </cellStyles>
  <dxfs count="9">
    <dxf>
      <fill>
        <patternFill>
          <bgColor indexed="47"/>
        </patternFill>
      </fill>
    </dxf>
    <dxf>
      <fill>
        <patternFill>
          <bgColor indexed="46"/>
        </patternFill>
      </fill>
    </dxf>
    <dxf>
      <fill>
        <patternFill>
          <bgColor indexed="42"/>
        </patternFill>
      </fill>
    </dxf>
    <dxf>
      <fill>
        <patternFill>
          <bgColor indexed="43"/>
        </patternFill>
      </fill>
    </dxf>
    <dxf>
      <fill>
        <patternFill>
          <bgColor indexed="42"/>
        </patternFill>
      </fill>
    </dxf>
    <dxf>
      <fill>
        <patternFill>
          <bgColor indexed="47"/>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Density</a:t>
            </a:r>
          </a:p>
        </c:rich>
      </c:tx>
      <c:layout>
        <c:manualLayout>
          <c:xMode val="factor"/>
          <c:yMode val="factor"/>
          <c:x val="0"/>
          <c:y val="-0.00375"/>
        </c:manualLayout>
      </c:layout>
      <c:spPr>
        <a:noFill/>
        <a:ln>
          <a:noFill/>
        </a:ln>
      </c:spPr>
    </c:title>
    <c:plotArea>
      <c:layout>
        <c:manualLayout>
          <c:xMode val="edge"/>
          <c:yMode val="edge"/>
          <c:x val="0.03275"/>
          <c:y val="0.18575"/>
          <c:w val="0.93475"/>
          <c:h val="0.6805"/>
        </c:manualLayout>
      </c:layout>
      <c:scatterChart>
        <c:scatterStyle val="lineMarker"/>
        <c:varyColors val="0"/>
        <c:ser>
          <c:idx val="0"/>
          <c:order val="0"/>
          <c:tx>
            <c:v>Density</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'Fluid Data'!$D$21:$D$26</c:f>
              <c:numCache/>
            </c:numRef>
          </c:xVal>
          <c:yVal>
            <c:numRef>
              <c:f>'Fluid Data'!$E$21:$E$26</c:f>
              <c:numCache/>
            </c:numRef>
          </c:yVal>
          <c:smooth val="0"/>
        </c:ser>
        <c:ser>
          <c:idx val="1"/>
          <c:order val="1"/>
          <c:tx>
            <c:v>Predicted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'Fluid Data'!$D$21:$D$26</c:f>
              <c:numCache/>
            </c:numRef>
          </c:xVal>
          <c:yVal>
            <c:numRef>
              <c:f>'Fluid Data'!$AL$21:$AL$26</c:f>
              <c:numCache/>
            </c:numRef>
          </c:yVal>
          <c:smooth val="0"/>
        </c:ser>
        <c:axId val="46414919"/>
        <c:axId val="15081088"/>
      </c:scatterChart>
      <c:valAx>
        <c:axId val="46414919"/>
        <c:scaling>
          <c:orientation val="minMax"/>
        </c:scaling>
        <c:axPos val="b"/>
        <c:delete val="0"/>
        <c:numFmt formatCode="General" sourceLinked="1"/>
        <c:majorTickMark val="out"/>
        <c:minorTickMark val="none"/>
        <c:tickLblPos val="nextTo"/>
        <c:spPr>
          <a:ln w="3175">
            <a:solidFill>
              <a:srgbClr val="000000"/>
            </a:solidFill>
          </a:ln>
        </c:spPr>
        <c:crossAx val="15081088"/>
        <c:crosses val="autoZero"/>
        <c:crossBetween val="midCat"/>
        <c:dispUnits/>
      </c:valAx>
      <c:valAx>
        <c:axId val="150810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414919"/>
        <c:crosses val="autoZero"/>
        <c:crossBetween val="midCat"/>
        <c:dispUnits/>
      </c:valAx>
      <c:spPr>
        <a:solidFill>
          <a:srgbClr val="C0C0C0"/>
        </a:solidFill>
        <a:ln w="12700">
          <a:solidFill>
            <a:srgbClr val="808080"/>
          </a:solidFill>
        </a:ln>
      </c:spPr>
    </c:plotArea>
    <c:legend>
      <c:legendPos val="b"/>
      <c:layout>
        <c:manualLayout>
          <c:xMode val="edge"/>
          <c:yMode val="edge"/>
          <c:x val="0.245"/>
          <c:y val="0.905"/>
          <c:w val="0.50975"/>
          <c:h val="0.076"/>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Specific Heat</a:t>
            </a:r>
          </a:p>
        </c:rich>
      </c:tx>
      <c:layout>
        <c:manualLayout>
          <c:xMode val="factor"/>
          <c:yMode val="factor"/>
          <c:x val="0.00325"/>
          <c:y val="-0.00375"/>
        </c:manualLayout>
      </c:layout>
      <c:spPr>
        <a:noFill/>
        <a:ln>
          <a:noFill/>
        </a:ln>
      </c:spPr>
    </c:title>
    <c:plotArea>
      <c:layout>
        <c:manualLayout>
          <c:xMode val="edge"/>
          <c:yMode val="edge"/>
          <c:x val="0.031"/>
          <c:y val="0.187"/>
          <c:w val="0.938"/>
          <c:h val="0.67475"/>
        </c:manualLayout>
      </c:layout>
      <c:scatterChart>
        <c:scatterStyle val="lineMarker"/>
        <c:varyColors val="0"/>
        <c:ser>
          <c:idx val="0"/>
          <c:order val="0"/>
          <c:tx>
            <c:v>Specific Heat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'Fluid Data'!$D$21:$D$26</c:f>
              <c:numCache/>
            </c:numRef>
          </c:xVal>
          <c:yVal>
            <c:numRef>
              <c:f>'Fluid Data'!$F$21:$F$26</c:f>
              <c:numCache/>
            </c:numRef>
          </c:yVal>
          <c:smooth val="0"/>
        </c:ser>
        <c:ser>
          <c:idx val="1"/>
          <c:order val="1"/>
          <c:tx>
            <c:v>Predicted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'Fluid Data'!$D$21:$D$26</c:f>
              <c:numCache/>
            </c:numRef>
          </c:xVal>
          <c:yVal>
            <c:numRef>
              <c:f>'Fluid Data'!$AM$21:$AM$26</c:f>
              <c:numCache/>
            </c:numRef>
          </c:yVal>
          <c:smooth val="0"/>
        </c:ser>
        <c:axId val="1512065"/>
        <c:axId val="13608586"/>
      </c:scatterChart>
      <c:valAx>
        <c:axId val="1512065"/>
        <c:scaling>
          <c:orientation val="minMax"/>
        </c:scaling>
        <c:axPos val="b"/>
        <c:delete val="0"/>
        <c:numFmt formatCode="General" sourceLinked="1"/>
        <c:majorTickMark val="out"/>
        <c:minorTickMark val="none"/>
        <c:tickLblPos val="nextTo"/>
        <c:spPr>
          <a:ln w="3175">
            <a:solidFill>
              <a:srgbClr val="000000"/>
            </a:solidFill>
          </a:ln>
        </c:spPr>
        <c:crossAx val="13608586"/>
        <c:crosses val="autoZero"/>
        <c:crossBetween val="midCat"/>
        <c:dispUnits/>
      </c:valAx>
      <c:valAx>
        <c:axId val="136085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12065"/>
        <c:crosses val="autoZero"/>
        <c:crossBetween val="midCat"/>
        <c:dispUnits/>
      </c:valAx>
      <c:spPr>
        <a:solidFill>
          <a:srgbClr val="C0C0C0"/>
        </a:solidFill>
        <a:ln w="12700">
          <a:solidFill>
            <a:srgbClr val="808080"/>
          </a:solidFill>
        </a:ln>
      </c:spPr>
    </c:plotArea>
    <c:legend>
      <c:legendPos val="b"/>
      <c:layout>
        <c:manualLayout>
          <c:xMode val="edge"/>
          <c:yMode val="edge"/>
          <c:x val="0.1845"/>
          <c:y val="0.90075"/>
          <c:w val="0.622"/>
          <c:h val="0.080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Thermal Conductivity</a:t>
            </a:r>
          </a:p>
        </c:rich>
      </c:tx>
      <c:layout>
        <c:manualLayout>
          <c:xMode val="factor"/>
          <c:yMode val="factor"/>
          <c:x val="0.003"/>
          <c:y val="-0.00375"/>
        </c:manualLayout>
      </c:layout>
      <c:spPr>
        <a:noFill/>
        <a:ln>
          <a:noFill/>
        </a:ln>
      </c:spPr>
    </c:title>
    <c:plotArea>
      <c:layout>
        <c:manualLayout>
          <c:xMode val="edge"/>
          <c:yMode val="edge"/>
          <c:x val="0.03075"/>
          <c:y val="0.187"/>
          <c:w val="0.9385"/>
          <c:h val="0.67475"/>
        </c:manualLayout>
      </c:layout>
      <c:scatterChart>
        <c:scatterStyle val="smoothMarker"/>
        <c:varyColors val="0"/>
        <c:ser>
          <c:idx val="0"/>
          <c:order val="0"/>
          <c:tx>
            <c:v>Thermal Conductivity</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'Fluid Data'!$D$21:$D$26</c:f>
              <c:numCache/>
            </c:numRef>
          </c:xVal>
          <c:yVal>
            <c:numRef>
              <c:f>'Fluid Data'!$G$21:$G$26</c:f>
              <c:numCache/>
            </c:numRef>
          </c:yVal>
          <c:smooth val="1"/>
        </c:ser>
        <c:ser>
          <c:idx val="1"/>
          <c:order val="1"/>
          <c:tx>
            <c:v>Predicted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'Fluid Data'!$D$21:$D$26</c:f>
              <c:numCache/>
            </c:numRef>
          </c:xVal>
          <c:yVal>
            <c:numRef>
              <c:f>'Fluid Data'!$AN$21:$AN$26</c:f>
              <c:numCache/>
            </c:numRef>
          </c:yVal>
          <c:smooth val="1"/>
        </c:ser>
        <c:axId val="55368411"/>
        <c:axId val="28553652"/>
      </c:scatterChart>
      <c:valAx>
        <c:axId val="55368411"/>
        <c:scaling>
          <c:orientation val="minMax"/>
        </c:scaling>
        <c:axPos val="b"/>
        <c:delete val="0"/>
        <c:numFmt formatCode="General" sourceLinked="1"/>
        <c:majorTickMark val="out"/>
        <c:minorTickMark val="none"/>
        <c:tickLblPos val="nextTo"/>
        <c:spPr>
          <a:ln w="3175">
            <a:solidFill>
              <a:srgbClr val="000000"/>
            </a:solidFill>
          </a:ln>
        </c:spPr>
        <c:crossAx val="28553652"/>
        <c:crosses val="autoZero"/>
        <c:crossBetween val="midCat"/>
        <c:dispUnits/>
      </c:valAx>
      <c:valAx>
        <c:axId val="285536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368411"/>
        <c:crosses val="autoZero"/>
        <c:crossBetween val="midCat"/>
        <c:dispUnits/>
      </c:valAx>
      <c:spPr>
        <a:solidFill>
          <a:srgbClr val="C0C0C0"/>
        </a:solidFill>
        <a:ln w="12700">
          <a:solidFill>
            <a:srgbClr val="808080"/>
          </a:solidFill>
        </a:ln>
      </c:spPr>
    </c:plotArea>
    <c:legend>
      <c:legendPos val="b"/>
      <c:layout>
        <c:manualLayout>
          <c:xMode val="edge"/>
          <c:yMode val="edge"/>
          <c:x val="0.12425"/>
          <c:y val="0.90075"/>
          <c:w val="0.7485"/>
          <c:h val="0.080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Viscosity</a:t>
            </a:r>
          </a:p>
        </c:rich>
      </c:tx>
      <c:layout>
        <c:manualLayout>
          <c:xMode val="factor"/>
          <c:yMode val="factor"/>
          <c:x val="-0.003"/>
          <c:y val="-0.00375"/>
        </c:manualLayout>
      </c:layout>
      <c:spPr>
        <a:noFill/>
        <a:ln>
          <a:noFill/>
        </a:ln>
      </c:spPr>
    </c:title>
    <c:plotArea>
      <c:layout>
        <c:manualLayout>
          <c:xMode val="edge"/>
          <c:yMode val="edge"/>
          <c:x val="0.02875"/>
          <c:y val="0.187"/>
          <c:w val="0.9425"/>
          <c:h val="0.671"/>
        </c:manualLayout>
      </c:layout>
      <c:scatterChart>
        <c:scatterStyle val="smoothMarker"/>
        <c:varyColors val="0"/>
        <c:ser>
          <c:idx val="0"/>
          <c:order val="0"/>
          <c:tx>
            <c:v>Viscosity</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'Fluid Data'!$D$21:$D$26</c:f>
              <c:numCache/>
            </c:numRef>
          </c:xVal>
          <c:yVal>
            <c:numRef>
              <c:f>'Fluid Data'!$H$21:$H$26</c:f>
              <c:numCache/>
            </c:numRef>
          </c:yVal>
          <c:smooth val="1"/>
        </c:ser>
        <c:ser>
          <c:idx val="1"/>
          <c:order val="1"/>
          <c:tx>
            <c:v>Predicted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'Fluid Data'!$D$21:$D$26</c:f>
              <c:numCache/>
            </c:numRef>
          </c:xVal>
          <c:yVal>
            <c:numRef>
              <c:f>'Fluid Data'!$AO$21:$AO$26</c:f>
              <c:numCache/>
            </c:numRef>
          </c:yVal>
          <c:smooth val="1"/>
        </c:ser>
        <c:axId val="55656277"/>
        <c:axId val="31144446"/>
      </c:scatterChart>
      <c:valAx>
        <c:axId val="55656277"/>
        <c:scaling>
          <c:orientation val="minMax"/>
        </c:scaling>
        <c:axPos val="b"/>
        <c:delete val="0"/>
        <c:numFmt formatCode="General" sourceLinked="1"/>
        <c:majorTickMark val="out"/>
        <c:minorTickMark val="none"/>
        <c:tickLblPos val="nextTo"/>
        <c:spPr>
          <a:ln w="3175">
            <a:solidFill>
              <a:srgbClr val="000000"/>
            </a:solidFill>
          </a:ln>
        </c:spPr>
        <c:crossAx val="31144446"/>
        <c:crosses val="autoZero"/>
        <c:crossBetween val="midCat"/>
        <c:dispUnits/>
      </c:valAx>
      <c:valAx>
        <c:axId val="31144446"/>
        <c:scaling>
          <c:logBase val="10"/>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656277"/>
        <c:crosses val="autoZero"/>
        <c:crossBetween val="midCat"/>
        <c:dispUnits/>
      </c:valAx>
      <c:spPr>
        <a:solidFill>
          <a:srgbClr val="C0C0C0"/>
        </a:solidFill>
        <a:ln w="12700">
          <a:solidFill>
            <a:srgbClr val="808080"/>
          </a:solidFill>
        </a:ln>
      </c:spPr>
    </c:plotArea>
    <c:legend>
      <c:legendPos val="b"/>
      <c:layout>
        <c:manualLayout>
          <c:xMode val="edge"/>
          <c:yMode val="edge"/>
          <c:x val="0.22825"/>
          <c:y val="0.897"/>
          <c:w val="0.53475"/>
          <c:h val="0.08775"/>
        </c:manualLayout>
      </c:layout>
      <c:overlay val="0"/>
      <c:spPr>
        <a:solidFill>
          <a:srgbClr val="FFFFFF"/>
        </a:solidFill>
        <a:ln w="3175">
          <a:solidFill>
            <a:srgbClr val="000000"/>
          </a:solidFill>
        </a:ln>
      </c:spPr>
      <c:txPr>
        <a:bodyPr vert="horz" rot="0"/>
        <a:lstStyle/>
        <a:p>
          <a:pPr>
            <a:defRPr lang="en-US" cap="none" sz="8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hemengsoftware.com/" TargetMode="External" /><Relationship Id="rId3" Type="http://schemas.openxmlformats.org/officeDocument/2006/relationships/hyperlink" Target="http://www.chemengsoftware.com/" TargetMode="External" /><Relationship Id="rId4" Type="http://schemas.openxmlformats.org/officeDocument/2006/relationships/image" Target="../media/image2.png" /><Relationship Id="rId5" Type="http://schemas.openxmlformats.org/officeDocument/2006/relationships/hyperlink" Target="http://store.elsevier.com/product.jsp?isbn=9780123877857&amp;_requestid=96716" TargetMode="External" /><Relationship Id="rId6" Type="http://schemas.openxmlformats.org/officeDocument/2006/relationships/hyperlink" Target="http://store.elsevier.com/product.jsp?isbn=9780123877857&amp;_requestid=96716"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chemengsoftware.com/" TargetMode="External" /><Relationship Id="rId3" Type="http://schemas.openxmlformats.org/officeDocument/2006/relationships/hyperlink" Target="http://www.chemengsoftware.com/"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3619500</xdr:colOff>
      <xdr:row>39</xdr:row>
      <xdr:rowOff>76200</xdr:rowOff>
    </xdr:from>
    <xdr:to>
      <xdr:col>0</xdr:col>
      <xdr:colOff>5410200</xdr:colOff>
      <xdr:row>41</xdr:row>
      <xdr:rowOff>123825</xdr:rowOff>
    </xdr:to>
    <xdr:pic>
      <xdr:nvPicPr>
        <xdr:cNvPr id="1" name="Picture 8">
          <a:hlinkClick r:id="rId3"/>
        </xdr:cNvPr>
        <xdr:cNvPicPr preferRelativeResize="1">
          <a:picLocks noChangeAspect="1"/>
        </xdr:cNvPicPr>
      </xdr:nvPicPr>
      <xdr:blipFill>
        <a:blip r:embed="rId1"/>
        <a:stretch>
          <a:fillRect/>
        </a:stretch>
      </xdr:blipFill>
      <xdr:spPr>
        <a:xfrm>
          <a:off x="3619500" y="7572375"/>
          <a:ext cx="1790700" cy="371475"/>
        </a:xfrm>
        <a:prstGeom prst="rect">
          <a:avLst/>
        </a:prstGeom>
        <a:noFill/>
        <a:ln w="9525" cmpd="sng">
          <a:noFill/>
        </a:ln>
      </xdr:spPr>
    </xdr:pic>
    <xdr:clientData/>
  </xdr:twoCellAnchor>
  <xdr:twoCellAnchor editAs="oneCell">
    <xdr:from>
      <xdr:col>0</xdr:col>
      <xdr:colOff>5514975</xdr:colOff>
      <xdr:row>0</xdr:row>
      <xdr:rowOff>104775</xdr:rowOff>
    </xdr:from>
    <xdr:to>
      <xdr:col>1</xdr:col>
      <xdr:colOff>114300</xdr:colOff>
      <xdr:row>11</xdr:row>
      <xdr:rowOff>9525</xdr:rowOff>
    </xdr:to>
    <xdr:pic>
      <xdr:nvPicPr>
        <xdr:cNvPr id="2" name="Picture 93" descr="Rules of Thumb for Chemical Engineers">
          <a:hlinkClick r:id="rId6"/>
        </xdr:cNvPr>
        <xdr:cNvPicPr preferRelativeResize="1">
          <a:picLocks noChangeAspect="1"/>
        </xdr:cNvPicPr>
      </xdr:nvPicPr>
      <xdr:blipFill>
        <a:blip r:embed="rId4"/>
        <a:stretch>
          <a:fillRect/>
        </a:stretch>
      </xdr:blipFill>
      <xdr:spPr>
        <a:xfrm>
          <a:off x="5514975" y="104775"/>
          <a:ext cx="1466850" cy="1685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0</xdr:row>
      <xdr:rowOff>114300</xdr:rowOff>
    </xdr:from>
    <xdr:ext cx="3790950" cy="552450"/>
    <xdr:sp>
      <xdr:nvSpPr>
        <xdr:cNvPr id="1" name="Text Box 1"/>
        <xdr:cNvSpPr txBox="1">
          <a:spLocks noChangeArrowheads="1"/>
        </xdr:cNvSpPr>
      </xdr:nvSpPr>
      <xdr:spPr>
        <a:xfrm>
          <a:off x="485775" y="114300"/>
          <a:ext cx="3790950"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the overall heat transfer coefficient and compare with the assumed value</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419100</xdr:colOff>
      <xdr:row>0</xdr:row>
      <xdr:rowOff>114300</xdr:rowOff>
    </xdr:from>
    <xdr:ext cx="3790950" cy="409575"/>
    <xdr:sp>
      <xdr:nvSpPr>
        <xdr:cNvPr id="1" name="Text Box 1"/>
        <xdr:cNvSpPr txBox="1">
          <a:spLocks noChangeArrowheads="1"/>
        </xdr:cNvSpPr>
      </xdr:nvSpPr>
      <xdr:spPr>
        <a:xfrm>
          <a:off x="419100" y="114300"/>
          <a:ext cx="3790950" cy="409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Specify the size of the nozzles</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0</xdr:row>
      <xdr:rowOff>66675</xdr:rowOff>
    </xdr:from>
    <xdr:ext cx="3790950" cy="552450"/>
    <xdr:sp>
      <xdr:nvSpPr>
        <xdr:cNvPr id="1" name="Text Box 1"/>
        <xdr:cNvSpPr txBox="1">
          <a:spLocks noChangeArrowheads="1"/>
        </xdr:cNvSpPr>
      </xdr:nvSpPr>
      <xdr:spPr>
        <a:xfrm>
          <a:off x="495300" y="66675"/>
          <a:ext cx="3790950"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Estimate the weight of the heat exchanger</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6</xdr:row>
      <xdr:rowOff>28575</xdr:rowOff>
    </xdr:from>
    <xdr:to>
      <xdr:col>6</xdr:col>
      <xdr:colOff>9525</xdr:colOff>
      <xdr:row>8</xdr:row>
      <xdr:rowOff>57150</xdr:rowOff>
    </xdr:to>
    <xdr:pic>
      <xdr:nvPicPr>
        <xdr:cNvPr id="1" name="Picture 10">
          <a:hlinkClick r:id="rId3"/>
        </xdr:cNvPr>
        <xdr:cNvPicPr preferRelativeResize="1">
          <a:picLocks noChangeAspect="1"/>
        </xdr:cNvPicPr>
      </xdr:nvPicPr>
      <xdr:blipFill>
        <a:blip r:embed="rId1"/>
        <a:stretch>
          <a:fillRect/>
        </a:stretch>
      </xdr:blipFill>
      <xdr:spPr>
        <a:xfrm>
          <a:off x="666750" y="1009650"/>
          <a:ext cx="1790700" cy="342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0</xdr:row>
      <xdr:rowOff>152400</xdr:rowOff>
    </xdr:from>
    <xdr:ext cx="3609975" cy="419100"/>
    <xdr:sp>
      <xdr:nvSpPr>
        <xdr:cNvPr id="1" name="Text Box 1"/>
        <xdr:cNvSpPr txBox="1">
          <a:spLocks noChangeArrowheads="1"/>
        </xdr:cNvSpPr>
      </xdr:nvSpPr>
      <xdr:spPr>
        <a:xfrm>
          <a:off x="600075" y="152400"/>
          <a:ext cx="3609975" cy="419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worksheet has intermediate values and radio button links; do not change or delete</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0</xdr:rowOff>
    </xdr:from>
    <xdr:to>
      <xdr:col>2</xdr:col>
      <xdr:colOff>3000375</xdr:colOff>
      <xdr:row>50</xdr:row>
      <xdr:rowOff>0</xdr:rowOff>
    </xdr:to>
    <xdr:graphicFrame>
      <xdr:nvGraphicFramePr>
        <xdr:cNvPr id="1" name="Chart 1"/>
        <xdr:cNvGraphicFramePr/>
      </xdr:nvGraphicFramePr>
      <xdr:xfrm>
        <a:off x="3400425" y="6143625"/>
        <a:ext cx="3000375" cy="2590800"/>
      </xdr:xfrm>
      <a:graphic>
        <a:graphicData uri="http://schemas.openxmlformats.org/drawingml/2006/chart">
          <c:chart xmlns:c="http://schemas.openxmlformats.org/drawingml/2006/chart" r:id="rId1"/>
        </a:graphicData>
      </a:graphic>
    </xdr:graphicFrame>
    <xdr:clientData/>
  </xdr:twoCellAnchor>
  <xdr:twoCellAnchor>
    <xdr:from>
      <xdr:col>2</xdr:col>
      <xdr:colOff>3114675</xdr:colOff>
      <xdr:row>34</xdr:row>
      <xdr:rowOff>0</xdr:rowOff>
    </xdr:from>
    <xdr:to>
      <xdr:col>7</xdr:col>
      <xdr:colOff>9525</xdr:colOff>
      <xdr:row>49</xdr:row>
      <xdr:rowOff>152400</xdr:rowOff>
    </xdr:to>
    <xdr:graphicFrame>
      <xdr:nvGraphicFramePr>
        <xdr:cNvPr id="2" name="Chart 2"/>
        <xdr:cNvGraphicFramePr/>
      </xdr:nvGraphicFramePr>
      <xdr:xfrm>
        <a:off x="6515100" y="6143625"/>
        <a:ext cx="3133725" cy="2581275"/>
      </xdr:xfrm>
      <a:graphic>
        <a:graphicData uri="http://schemas.openxmlformats.org/drawingml/2006/chart">
          <c:chart xmlns:c="http://schemas.openxmlformats.org/drawingml/2006/chart" r:id="rId2"/>
        </a:graphicData>
      </a:graphic>
    </xdr:graphicFrame>
    <xdr:clientData/>
  </xdr:twoCellAnchor>
  <xdr:twoCellAnchor>
    <xdr:from>
      <xdr:col>7</xdr:col>
      <xdr:colOff>104775</xdr:colOff>
      <xdr:row>34</xdr:row>
      <xdr:rowOff>0</xdr:rowOff>
    </xdr:from>
    <xdr:to>
      <xdr:col>12</xdr:col>
      <xdr:colOff>0</xdr:colOff>
      <xdr:row>49</xdr:row>
      <xdr:rowOff>152400</xdr:rowOff>
    </xdr:to>
    <xdr:graphicFrame>
      <xdr:nvGraphicFramePr>
        <xdr:cNvPr id="3" name="Chart 3"/>
        <xdr:cNvGraphicFramePr/>
      </xdr:nvGraphicFramePr>
      <xdr:xfrm>
        <a:off x="9744075" y="6143625"/>
        <a:ext cx="3152775" cy="2581275"/>
      </xdr:xfrm>
      <a:graphic>
        <a:graphicData uri="http://schemas.openxmlformats.org/drawingml/2006/chart">
          <c:chart xmlns:c="http://schemas.openxmlformats.org/drawingml/2006/chart" r:id="rId3"/>
        </a:graphicData>
      </a:graphic>
    </xdr:graphicFrame>
    <xdr:clientData/>
  </xdr:twoCellAnchor>
  <xdr:twoCellAnchor>
    <xdr:from>
      <xdr:col>12</xdr:col>
      <xdr:colOff>85725</xdr:colOff>
      <xdr:row>34</xdr:row>
      <xdr:rowOff>0</xdr:rowOff>
    </xdr:from>
    <xdr:to>
      <xdr:col>17</xdr:col>
      <xdr:colOff>180975</xdr:colOff>
      <xdr:row>49</xdr:row>
      <xdr:rowOff>152400</xdr:rowOff>
    </xdr:to>
    <xdr:graphicFrame>
      <xdr:nvGraphicFramePr>
        <xdr:cNvPr id="4" name="Chart 19"/>
        <xdr:cNvGraphicFramePr/>
      </xdr:nvGraphicFramePr>
      <xdr:xfrm>
        <a:off x="12982575" y="6143625"/>
        <a:ext cx="3381375" cy="25812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523875</xdr:colOff>
      <xdr:row>1</xdr:row>
      <xdr:rowOff>9525</xdr:rowOff>
    </xdr:from>
    <xdr:ext cx="3609975" cy="438150"/>
    <xdr:sp>
      <xdr:nvSpPr>
        <xdr:cNvPr id="1" name="Text Box 1"/>
        <xdr:cNvSpPr txBox="1">
          <a:spLocks noChangeArrowheads="1"/>
        </xdr:cNvSpPr>
      </xdr:nvSpPr>
      <xdr:spPr>
        <a:xfrm>
          <a:off x="523875" y="171450"/>
          <a:ext cx="360997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Define components for the hot and cold streams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xdr:row>
      <xdr:rowOff>0</xdr:rowOff>
    </xdr:from>
    <xdr:ext cx="3609975" cy="552450"/>
    <xdr:sp>
      <xdr:nvSpPr>
        <xdr:cNvPr id="1" name="Text Box 1"/>
        <xdr:cNvSpPr txBox="1">
          <a:spLocks noChangeArrowheads="1"/>
        </xdr:cNvSpPr>
      </xdr:nvSpPr>
      <xdr:spPr>
        <a:xfrm>
          <a:off x="352425" y="161925"/>
          <a:ext cx="3609975"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Specify process conditions for a liquid-liquid heat exchange problem, and perform a heat balance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48</xdr:row>
      <xdr:rowOff>152400</xdr:rowOff>
    </xdr:from>
    <xdr:to>
      <xdr:col>4</xdr:col>
      <xdr:colOff>371475</xdr:colOff>
      <xdr:row>50</xdr:row>
      <xdr:rowOff>9525</xdr:rowOff>
    </xdr:to>
    <xdr:sp>
      <xdr:nvSpPr>
        <xdr:cNvPr id="1" name="Line 24"/>
        <xdr:cNvSpPr>
          <a:spLocks/>
        </xdr:cNvSpPr>
      </xdr:nvSpPr>
      <xdr:spPr>
        <a:xfrm flipH="1">
          <a:off x="3933825" y="7924800"/>
          <a:ext cx="3619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447675</xdr:colOff>
      <xdr:row>0</xdr:row>
      <xdr:rowOff>104775</xdr:rowOff>
    </xdr:from>
    <xdr:ext cx="3790950" cy="552450"/>
    <xdr:sp>
      <xdr:nvSpPr>
        <xdr:cNvPr id="2" name="Text Box 4"/>
        <xdr:cNvSpPr txBox="1">
          <a:spLocks noChangeArrowheads="1"/>
        </xdr:cNvSpPr>
      </xdr:nvSpPr>
      <xdr:spPr>
        <a:xfrm>
          <a:off x="447675" y="104775"/>
          <a:ext cx="3790950"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the tube side pressure drop based on process data and heat load, using rule-of-thumb heat transfer rate and safety factor</a:t>
          </a:r>
        </a:p>
      </xdr:txBody>
    </xdr:sp>
    <xdr:clientData/>
  </xdr:oneCellAnchor>
  <xdr:twoCellAnchor>
    <xdr:from>
      <xdr:col>4</xdr:col>
      <xdr:colOff>142875</xdr:colOff>
      <xdr:row>48</xdr:row>
      <xdr:rowOff>28575</xdr:rowOff>
    </xdr:from>
    <xdr:to>
      <xdr:col>5</xdr:col>
      <xdr:colOff>38100</xdr:colOff>
      <xdr:row>49</xdr:row>
      <xdr:rowOff>85725</xdr:rowOff>
    </xdr:to>
    <xdr:sp>
      <xdr:nvSpPr>
        <xdr:cNvPr id="3" name="Text Box 23"/>
        <xdr:cNvSpPr txBox="1">
          <a:spLocks noChangeArrowheads="1"/>
        </xdr:cNvSpPr>
      </xdr:nvSpPr>
      <xdr:spPr>
        <a:xfrm>
          <a:off x="4067175" y="7800975"/>
          <a:ext cx="504825" cy="219075"/>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Result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38</xdr:row>
      <xdr:rowOff>85725</xdr:rowOff>
    </xdr:from>
    <xdr:to>
      <xdr:col>4</xdr:col>
      <xdr:colOff>428625</xdr:colOff>
      <xdr:row>38</xdr:row>
      <xdr:rowOff>85725</xdr:rowOff>
    </xdr:to>
    <xdr:sp>
      <xdr:nvSpPr>
        <xdr:cNvPr id="1" name="Line 7"/>
        <xdr:cNvSpPr>
          <a:spLocks/>
        </xdr:cNvSpPr>
      </xdr:nvSpPr>
      <xdr:spPr>
        <a:xfrm flipH="1">
          <a:off x="3400425" y="62388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0</xdr:row>
      <xdr:rowOff>104775</xdr:rowOff>
    </xdr:from>
    <xdr:ext cx="3609975" cy="409575"/>
    <xdr:sp>
      <xdr:nvSpPr>
        <xdr:cNvPr id="2" name="Text Box 2"/>
        <xdr:cNvSpPr txBox="1">
          <a:spLocks noChangeArrowheads="1"/>
        </xdr:cNvSpPr>
      </xdr:nvSpPr>
      <xdr:spPr>
        <a:xfrm>
          <a:off x="609600" y="104775"/>
          <a:ext cx="3609975" cy="409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the LMTD configuration correction factor </a:t>
          </a:r>
        </a:p>
      </xdr:txBody>
    </xdr:sp>
    <xdr:clientData/>
  </xdr:oneCellAnchor>
  <xdr:twoCellAnchor>
    <xdr:from>
      <xdr:col>4</xdr:col>
      <xdr:colOff>209550</xdr:colOff>
      <xdr:row>37</xdr:row>
      <xdr:rowOff>133350</xdr:rowOff>
    </xdr:from>
    <xdr:to>
      <xdr:col>5</xdr:col>
      <xdr:colOff>104775</xdr:colOff>
      <xdr:row>39</xdr:row>
      <xdr:rowOff>28575</xdr:rowOff>
    </xdr:to>
    <xdr:sp>
      <xdr:nvSpPr>
        <xdr:cNvPr id="3" name="Text Box 6"/>
        <xdr:cNvSpPr txBox="1">
          <a:spLocks noChangeArrowheads="1"/>
        </xdr:cNvSpPr>
      </xdr:nvSpPr>
      <xdr:spPr>
        <a:xfrm>
          <a:off x="3590925" y="6124575"/>
          <a:ext cx="504825" cy="219075"/>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Result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0</xdr:row>
      <xdr:rowOff>104775</xdr:rowOff>
    </xdr:from>
    <xdr:ext cx="3790950" cy="552450"/>
    <xdr:sp>
      <xdr:nvSpPr>
        <xdr:cNvPr id="1" name="Text Box 1"/>
        <xdr:cNvSpPr txBox="1">
          <a:spLocks noChangeArrowheads="1"/>
        </xdr:cNvSpPr>
      </xdr:nvSpPr>
      <xdr:spPr>
        <a:xfrm>
          <a:off x="447675" y="104775"/>
          <a:ext cx="3790950"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the tube side heat transfer coefficient</a:t>
          </a:r>
        </a:p>
      </xdr:txBody>
    </xdr:sp>
    <xdr:clientData/>
  </xdr:oneCellAnchor>
  <xdr:twoCellAnchor>
    <xdr:from>
      <xdr:col>3</xdr:col>
      <xdr:colOff>676275</xdr:colOff>
      <xdr:row>43</xdr:row>
      <xdr:rowOff>76200</xdr:rowOff>
    </xdr:from>
    <xdr:to>
      <xdr:col>4</xdr:col>
      <xdr:colOff>400050</xdr:colOff>
      <xdr:row>43</xdr:row>
      <xdr:rowOff>76200</xdr:rowOff>
    </xdr:to>
    <xdr:sp>
      <xdr:nvSpPr>
        <xdr:cNvPr id="2" name="Line 2"/>
        <xdr:cNvSpPr>
          <a:spLocks/>
        </xdr:cNvSpPr>
      </xdr:nvSpPr>
      <xdr:spPr>
        <a:xfrm flipH="1">
          <a:off x="3819525" y="70389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42</xdr:row>
      <xdr:rowOff>123825</xdr:rowOff>
    </xdr:from>
    <xdr:to>
      <xdr:col>5</xdr:col>
      <xdr:colOff>76200</xdr:colOff>
      <xdr:row>44</xdr:row>
      <xdr:rowOff>19050</xdr:rowOff>
    </xdr:to>
    <xdr:sp>
      <xdr:nvSpPr>
        <xdr:cNvPr id="3" name="Text Box 3"/>
        <xdr:cNvSpPr txBox="1">
          <a:spLocks noChangeArrowheads="1"/>
        </xdr:cNvSpPr>
      </xdr:nvSpPr>
      <xdr:spPr>
        <a:xfrm>
          <a:off x="4010025" y="6924675"/>
          <a:ext cx="504825" cy="219075"/>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Result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0</xdr:row>
      <xdr:rowOff>104775</xdr:rowOff>
    </xdr:from>
    <xdr:ext cx="3790950" cy="552450"/>
    <xdr:sp>
      <xdr:nvSpPr>
        <xdr:cNvPr id="1" name="Text Box 1"/>
        <xdr:cNvSpPr txBox="1">
          <a:spLocks noChangeArrowheads="1"/>
        </xdr:cNvSpPr>
      </xdr:nvSpPr>
      <xdr:spPr>
        <a:xfrm>
          <a:off x="447675" y="104775"/>
          <a:ext cx="3790950"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the shell side geometrical parameters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0</xdr:row>
      <xdr:rowOff>114300</xdr:rowOff>
    </xdr:from>
    <xdr:ext cx="4314825" cy="438150"/>
    <xdr:sp>
      <xdr:nvSpPr>
        <xdr:cNvPr id="1" name="Text Box 1"/>
        <xdr:cNvSpPr txBox="1">
          <a:spLocks noChangeArrowheads="1"/>
        </xdr:cNvSpPr>
      </xdr:nvSpPr>
      <xdr:spPr>
        <a:xfrm>
          <a:off x="485775" y="114300"/>
          <a:ext cx="43148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the shell side film coefficient using the Bell-Delaware method</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428625</xdr:colOff>
      <xdr:row>1</xdr:row>
      <xdr:rowOff>9525</xdr:rowOff>
    </xdr:from>
    <xdr:ext cx="3790950" cy="409575"/>
    <xdr:sp>
      <xdr:nvSpPr>
        <xdr:cNvPr id="1" name="Text Box 1"/>
        <xdr:cNvSpPr txBox="1">
          <a:spLocks noChangeArrowheads="1"/>
        </xdr:cNvSpPr>
      </xdr:nvSpPr>
      <xdr:spPr>
        <a:xfrm>
          <a:off x="428625" y="171450"/>
          <a:ext cx="3790950" cy="409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Problem Statement:
</a:t>
          </a:r>
          <a:r>
            <a:rPr lang="en-US" cap="none" sz="1000" b="0" i="0" u="none" baseline="0">
              <a:solidFill>
                <a:srgbClr val="000000"/>
              </a:solidFill>
              <a:latin typeface="Arial"/>
              <a:ea typeface="Arial"/>
              <a:cs typeface="Arial"/>
            </a:rPr>
            <a:t>Calculate the shell side pressure drop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engsoftware.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5.xml" /><Relationship Id="rId3"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2"/>
  <dimension ref="A2:B46"/>
  <sheetViews>
    <sheetView tabSelected="1" zoomScalePageLayoutView="0" workbookViewId="0" topLeftCell="A1">
      <selection activeCell="A1" sqref="A1"/>
    </sheetView>
  </sheetViews>
  <sheetFormatPr defaultColWidth="9.140625" defaultRowHeight="12.75"/>
  <cols>
    <col min="1" max="1" width="103.00390625" style="7" customWidth="1"/>
    <col min="2" max="2" width="90.7109375" style="7" customWidth="1"/>
    <col min="3" max="16384" width="9.140625" style="7" customWidth="1"/>
  </cols>
  <sheetData>
    <row r="1" ht="12.75"/>
    <row r="2" ht="12.75">
      <c r="B2" s="22"/>
    </row>
    <row r="3" ht="12.75">
      <c r="A3" s="6" t="s">
        <v>27</v>
      </c>
    </row>
    <row r="4" ht="12.75">
      <c r="A4" s="6" t="s">
        <v>978</v>
      </c>
    </row>
    <row r="5" ht="12.75">
      <c r="A5" s="6" t="s">
        <v>13</v>
      </c>
    </row>
    <row r="6" ht="12.75"/>
    <row r="7" ht="12.75"/>
    <row r="8" ht="12.75">
      <c r="A8" s="7" t="s">
        <v>88</v>
      </c>
    </row>
    <row r="9" ht="12.75"/>
    <row r="10" ht="12.75">
      <c r="A10" s="7" t="s">
        <v>14</v>
      </c>
    </row>
    <row r="11" ht="12.75">
      <c r="A11" s="7" t="s">
        <v>15</v>
      </c>
    </row>
    <row r="12" ht="12.75"/>
    <row r="13" ht="12.75">
      <c r="A13" s="387" t="s">
        <v>903</v>
      </c>
    </row>
    <row r="14" ht="51">
      <c r="A14" s="388" t="s">
        <v>913</v>
      </c>
    </row>
    <row r="15" ht="12.75">
      <c r="A15" s="388"/>
    </row>
    <row r="16" ht="12.75">
      <c r="A16" s="388"/>
    </row>
    <row r="17" ht="25.5">
      <c r="A17" s="388" t="s">
        <v>911</v>
      </c>
    </row>
    <row r="18" ht="12.75">
      <c r="A18" s="388"/>
    </row>
    <row r="19" ht="12.75">
      <c r="A19" s="388" t="s">
        <v>904</v>
      </c>
    </row>
    <row r="20" ht="12.75">
      <c r="A20" s="388"/>
    </row>
    <row r="21" ht="25.5">
      <c r="A21" s="388" t="s">
        <v>905</v>
      </c>
    </row>
    <row r="22" ht="12.75">
      <c r="A22" s="388"/>
    </row>
    <row r="23" ht="12.75">
      <c r="A23" s="388" t="s">
        <v>906</v>
      </c>
    </row>
    <row r="24" ht="12.75">
      <c r="A24" s="388"/>
    </row>
    <row r="25" ht="16.5" customHeight="1">
      <c r="A25" s="388" t="s">
        <v>907</v>
      </c>
    </row>
    <row r="26" ht="12.75">
      <c r="A26" s="388"/>
    </row>
    <row r="27" ht="12.75">
      <c r="A27" s="388" t="s">
        <v>908</v>
      </c>
    </row>
    <row r="28" ht="12.75">
      <c r="A28" s="388"/>
    </row>
    <row r="29" ht="12.75">
      <c r="A29" s="388" t="s">
        <v>909</v>
      </c>
    </row>
    <row r="30" ht="12.75">
      <c r="A30" s="388"/>
    </row>
    <row r="31" ht="25.5">
      <c r="A31" s="416" t="s">
        <v>977</v>
      </c>
    </row>
    <row r="32" ht="12.75">
      <c r="A32" s="388"/>
    </row>
    <row r="33" ht="12.75">
      <c r="A33" s="388" t="s">
        <v>910</v>
      </c>
    </row>
    <row r="34" ht="12.75">
      <c r="A34" s="388"/>
    </row>
    <row r="35" ht="25.5">
      <c r="A35" s="388" t="s">
        <v>912</v>
      </c>
    </row>
    <row r="36" ht="12.75">
      <c r="A36" s="388"/>
    </row>
    <row r="37" ht="12.75">
      <c r="A37" s="388"/>
    </row>
    <row r="40" ht="12.75"/>
    <row r="41" ht="12.75">
      <c r="A41" s="7" t="s">
        <v>472</v>
      </c>
    </row>
    <row r="42" ht="12.75">
      <c r="A42" s="23" t="s">
        <v>26</v>
      </c>
    </row>
    <row r="43" ht="38.25">
      <c r="A43" s="24" t="s">
        <v>473</v>
      </c>
    </row>
    <row r="44" ht="14.25">
      <c r="A44" s="25"/>
    </row>
    <row r="45" ht="14.25">
      <c r="A45" s="25"/>
    </row>
    <row r="46" ht="14.25">
      <c r="A46" s="25"/>
    </row>
  </sheetData>
  <sheetProtection/>
  <hyperlinks>
    <hyperlink ref="A42" r:id="rId1" display="www.chemengsoftware.com"/>
  </hyperlinks>
  <printOptions/>
  <pageMargins left="0.75" right="0.75" top="1" bottom="1" header="0.5" footer="0.5"/>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sheetPr codeName="Sheet16"/>
  <dimension ref="A6:D31"/>
  <sheetViews>
    <sheetView zoomScalePageLayoutView="0" workbookViewId="0" topLeftCell="A1">
      <selection activeCell="A1" sqref="A1"/>
    </sheetView>
  </sheetViews>
  <sheetFormatPr defaultColWidth="9.140625" defaultRowHeight="12.75"/>
  <cols>
    <col min="2" max="2" width="29.57421875" style="0" customWidth="1"/>
    <col min="3" max="3" width="13.00390625" style="0" customWidth="1"/>
    <col min="4" max="4" width="10.57421875" style="0" customWidth="1"/>
  </cols>
  <sheetData>
    <row r="6" ht="12.75">
      <c r="A6" s="1" t="s">
        <v>1</v>
      </c>
    </row>
    <row r="7" spans="2:4" ht="12.75">
      <c r="B7" t="s">
        <v>688</v>
      </c>
      <c r="D7" s="45" t="s">
        <v>746</v>
      </c>
    </row>
    <row r="11" ht="12.75">
      <c r="A11" s="1" t="s">
        <v>601</v>
      </c>
    </row>
    <row r="12" spans="2:4" ht="12.75">
      <c r="B12" t="s">
        <v>689</v>
      </c>
      <c r="C12" t="str">
        <f>INDEX(units_conv,4,units*2)</f>
        <v>Btu/h-ft²-°F</v>
      </c>
      <c r="D12" s="183">
        <f>U_Assumed</f>
        <v>520</v>
      </c>
    </row>
    <row r="13" spans="2:4" ht="12.75">
      <c r="B13" t="s">
        <v>690</v>
      </c>
      <c r="C13" t="str">
        <f>INDEX(units_conv,4,units*2)</f>
        <v>Btu/h-ft²-°F</v>
      </c>
      <c r="D13" s="183">
        <f>h_inside</f>
        <v>1568.745068307157</v>
      </c>
    </row>
    <row r="14" spans="2:4" ht="12.75">
      <c r="B14" t="s">
        <v>692</v>
      </c>
      <c r="D14" s="225">
        <f>CHOOSE(Tubes,SS_Fouling,TS_Fouling)</f>
        <v>0.000499687144</v>
      </c>
    </row>
    <row r="15" spans="2:4" ht="12.75">
      <c r="B15" t="s">
        <v>693</v>
      </c>
      <c r="D15" s="225">
        <f>CHOOSE(Tubes,TS_Fouling,SS_Fouling)</f>
        <v>0.000499687144</v>
      </c>
    </row>
    <row r="16" spans="2:4" ht="12.75">
      <c r="B16" t="s">
        <v>694</v>
      </c>
      <c r="C16" t="str">
        <f>INDEX(units_conv,4,units*2)</f>
        <v>Btu/h-ft²-°F</v>
      </c>
      <c r="D16" s="183">
        <f>h_outside</f>
        <v>1182.8062738632286</v>
      </c>
    </row>
    <row r="17" spans="2:4" ht="12.75">
      <c r="B17" t="s">
        <v>695</v>
      </c>
      <c r="C17" t="str">
        <f>CHOOSE(units,"in","mm")</f>
        <v>in</v>
      </c>
      <c r="D17" s="8">
        <f>TubeOD</f>
        <v>0.75</v>
      </c>
    </row>
    <row r="18" spans="2:4" ht="12.75">
      <c r="B18" t="s">
        <v>696</v>
      </c>
      <c r="C18" t="str">
        <f>CHOOSE(units,"in","mm")</f>
        <v>in</v>
      </c>
      <c r="D18" s="8">
        <f>TubeID</f>
        <v>0.584</v>
      </c>
    </row>
    <row r="19" spans="2:4" ht="12.75">
      <c r="B19" t="s">
        <v>728</v>
      </c>
      <c r="C19" s="187" t="str">
        <f>INDEX(units_conv,5,units*2)</f>
        <v>Btu/h-ft-°F</v>
      </c>
      <c r="D19" s="183">
        <f>VLOOKUP(D7,TubeConductivity,2,FALSE)</f>
        <v>24</v>
      </c>
    </row>
    <row r="20" spans="2:4" ht="12.75">
      <c r="B20" t="s">
        <v>532</v>
      </c>
      <c r="C20" s="179" t="str">
        <f>CHOOSE(units,"Btu/h","W")</f>
        <v>Btu/h</v>
      </c>
      <c r="D20" s="183">
        <f>'Process Data'!H15</f>
        <v>5002748.415953172</v>
      </c>
    </row>
    <row r="21" spans="2:4" ht="12.75">
      <c r="B21" t="s">
        <v>563</v>
      </c>
      <c r="C21" t="str">
        <f>CHOOSE(units,"°F","°C")</f>
        <v>°F</v>
      </c>
      <c r="D21" s="8">
        <f>MTD</f>
        <v>12.741329152517334</v>
      </c>
    </row>
    <row r="23" ht="12.75">
      <c r="A23" s="1" t="s">
        <v>518</v>
      </c>
    </row>
    <row r="25" spans="2:4" ht="12.75">
      <c r="B25" t="s">
        <v>817</v>
      </c>
      <c r="C25" t="str">
        <f>INDEX(units_conv,4,units*2)</f>
        <v>Btu/h-ft²-°F</v>
      </c>
      <c r="D25" s="224">
        <f>1/(TubeOD/(TubeID*h_inside)+TubeOD*LN(TubeOD/TubeID)/(2*CHOOSE(units,TubeTC*12,TubeTC*1000))+1/h_outside)</f>
        <v>502.55350490528184</v>
      </c>
    </row>
    <row r="26" spans="2:4" ht="12.75">
      <c r="B26" t="s">
        <v>816</v>
      </c>
      <c r="C26" t="str">
        <f>INDEX(units_conv,4,units*2)</f>
        <v>Btu/h-ft²-°F</v>
      </c>
      <c r="D26" s="224">
        <f>1/(TubeOD/(TubeID*h_inside)+TubeOD*FoulingTubes/TubeID+TubeOD*LN(TubeOD/TubeID)/(2*CHOOSE(units,TubeTC*12,TubeTC*1000))+FoulingShell+1/h_outside)</f>
        <v>319.361631778886</v>
      </c>
    </row>
    <row r="28" spans="2:4" ht="12.75">
      <c r="B28" t="s">
        <v>879</v>
      </c>
      <c r="C28" s="187" t="str">
        <f>INDEX(units_conv,3,units*2)</f>
        <v>ft²</v>
      </c>
      <c r="D28" s="5">
        <f>D20/D25/D21</f>
        <v>781.2888416252549</v>
      </c>
    </row>
    <row r="29" spans="2:4" ht="12.75">
      <c r="B29" t="s">
        <v>880</v>
      </c>
      <c r="C29" t="str">
        <f>INDEX(units_conv,3,units*2)</f>
        <v>ft²</v>
      </c>
      <c r="D29" s="5">
        <f>D20/D26/D21</f>
        <v>1229.4509002697241</v>
      </c>
    </row>
    <row r="30" spans="2:4" ht="12.75">
      <c r="B30" t="s">
        <v>918</v>
      </c>
      <c r="C30" t="str">
        <f>INDEX(units_conv,3,units*2)</f>
        <v>ft²</v>
      </c>
      <c r="D30" s="8">
        <f>A_Outside</f>
        <v>907.1348787240526</v>
      </c>
    </row>
    <row r="31" spans="2:4" ht="12.75">
      <c r="B31" t="s">
        <v>881</v>
      </c>
      <c r="D31" s="385">
        <f>(D30-D28)/D28</f>
        <v>0.16107491927954562</v>
      </c>
    </row>
  </sheetData>
  <sheetProtection/>
  <dataValidations count="1">
    <dataValidation type="list" allowBlank="1" showInputMessage="1" showErrorMessage="1" sqref="D7">
      <formula1>TubeMaterial</formula1>
    </dataValidation>
  </dataValidation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Sheet6"/>
  <dimension ref="A6:F52"/>
  <sheetViews>
    <sheetView zoomScalePageLayoutView="0" workbookViewId="0" topLeftCell="A1">
      <selection activeCell="A1" sqref="A1"/>
    </sheetView>
  </sheetViews>
  <sheetFormatPr defaultColWidth="9.140625" defaultRowHeight="12.75"/>
  <cols>
    <col min="2" max="2" width="30.7109375" style="0" customWidth="1"/>
    <col min="4" max="4" width="12.421875" style="0" customWidth="1"/>
    <col min="6" max="6" width="9.28125" style="0" bestFit="1" customWidth="1"/>
  </cols>
  <sheetData>
    <row r="6" ht="12.75">
      <c r="A6" s="1" t="s">
        <v>1</v>
      </c>
    </row>
    <row r="7" spans="2:4" ht="12.75">
      <c r="B7" t="s">
        <v>960</v>
      </c>
      <c r="C7" t="str">
        <f>INDEX(units_conv,12,units*2)</f>
        <v>ft/s</v>
      </c>
      <c r="D7" s="240">
        <v>5</v>
      </c>
    </row>
    <row r="8" spans="2:4" ht="12.75">
      <c r="B8" t="s">
        <v>961</v>
      </c>
      <c r="C8" t="str">
        <f>INDEX(units_conv,12,units*2)</f>
        <v>ft/s</v>
      </c>
      <c r="D8" s="240">
        <v>3</v>
      </c>
    </row>
    <row r="10" ht="12.75">
      <c r="A10" s="1" t="s">
        <v>601</v>
      </c>
    </row>
    <row r="11" ht="12.75">
      <c r="A11" s="379" t="s">
        <v>957</v>
      </c>
    </row>
    <row r="12" spans="2:4" ht="12.75">
      <c r="B12" t="s">
        <v>509</v>
      </c>
      <c r="C12" t="str">
        <f>INDEX(units_conv,15,units*2)</f>
        <v>lb/h</v>
      </c>
      <c r="D12" s="183">
        <f>CHOOSE(Tubes,SS_Flow,TS_Flow)</f>
        <v>1188000</v>
      </c>
    </row>
    <row r="13" spans="2:4" ht="12.75">
      <c r="B13" t="s">
        <v>959</v>
      </c>
      <c r="C13" t="str">
        <f>INDEX(units_conv,18,units*2)</f>
        <v>lb/ft3</v>
      </c>
      <c r="D13" s="8">
        <f>CHOOSE(Tubes,SS_DensityIn,TS_DensityIn)</f>
        <v>62.25228236455735</v>
      </c>
    </row>
    <row r="14" spans="2:4" ht="12.75">
      <c r="B14" t="s">
        <v>969</v>
      </c>
      <c r="C14" t="str">
        <f>INDEX(units_conv,18,units*2)</f>
        <v>lb/ft3</v>
      </c>
      <c r="D14" s="8">
        <f>CHOOSE(Tubes,SS_DensityOut,TS_DensityOut)</f>
        <v>62.18554162567291</v>
      </c>
    </row>
    <row r="16" ht="12.75">
      <c r="A16" s="379" t="s">
        <v>958</v>
      </c>
    </row>
    <row r="17" spans="2:4" ht="12.75">
      <c r="B17" t="s">
        <v>509</v>
      </c>
      <c r="C17" t="str">
        <f>INDEX(units_conv,15,units*2)</f>
        <v>lb/h</v>
      </c>
      <c r="D17" s="183">
        <f>CHOOSE(Tubes,TS_Flow,SS_Flow)</f>
        <v>396000.00000000006</v>
      </c>
    </row>
    <row r="18" spans="2:4" ht="12.75">
      <c r="B18" t="s">
        <v>959</v>
      </c>
      <c r="C18" t="str">
        <f>INDEX(units_conv,18,units*2)</f>
        <v>lb/ft3</v>
      </c>
      <c r="D18" s="8">
        <f>CHOOSE(Tubes,TS_DensityIn,SS_DensityIn)</f>
        <v>61.90914634416702</v>
      </c>
    </row>
    <row r="19" spans="2:4" ht="12.75">
      <c r="B19" t="s">
        <v>969</v>
      </c>
      <c r="C19" t="str">
        <f>INDEX(units_conv,18,units*2)</f>
        <v>lb/ft3</v>
      </c>
      <c r="D19" s="8">
        <f>CHOOSE(Tubes,TS_DensityOut,SS_DensityOut)</f>
        <v>62.10930902272805</v>
      </c>
    </row>
    <row r="21" ht="12.75">
      <c r="A21" s="1" t="s">
        <v>518</v>
      </c>
    </row>
    <row r="22" ht="12.75">
      <c r="A22" s="379" t="s">
        <v>957</v>
      </c>
    </row>
    <row r="23" spans="2:6" ht="12.75">
      <c r="B23" t="s">
        <v>962</v>
      </c>
      <c r="C23" t="str">
        <f>CHOOSE(units,"ft3/s","m3/s")</f>
        <v>ft3/s</v>
      </c>
      <c r="D23" s="5">
        <f>D12/3600/D13</f>
        <v>5.301010460427421</v>
      </c>
      <c r="E23" s="5"/>
      <c r="F23" s="5"/>
    </row>
    <row r="24" spans="2:4" ht="12.75">
      <c r="B24" t="s">
        <v>967</v>
      </c>
      <c r="C24" t="str">
        <f>CHOOSE(units,"in","mm")</f>
        <v>in</v>
      </c>
      <c r="D24" s="8">
        <f>((D23/TS_MaxVelocity)*CHOOSE(units,12,1000)^2*4/PI())^0.5</f>
        <v>13.942178344283336</v>
      </c>
    </row>
    <row r="25" spans="2:4" ht="12.75">
      <c r="B25" t="s">
        <v>968</v>
      </c>
      <c r="C25" t="str">
        <f>CHOOSE(units,"in","mm")</f>
        <v>in</v>
      </c>
      <c r="D25">
        <f>VLOOKUP(D24*1.05,Nozzles,2)</f>
        <v>15.623999999999999</v>
      </c>
    </row>
    <row r="26" spans="2:4" ht="12.75">
      <c r="B26" t="s">
        <v>975</v>
      </c>
      <c r="C26" t="str">
        <f>CHOOSE(units,"in","DN")</f>
        <v>in</v>
      </c>
      <c r="D26">
        <f>VLOOKUP(D25,NozzleData,2)</f>
        <v>16</v>
      </c>
    </row>
    <row r="27" spans="2:4" ht="12.75">
      <c r="B27" t="s">
        <v>25</v>
      </c>
      <c r="C27" t="str">
        <f>INDEX(units_conv,12,units*2)</f>
        <v>ft/s</v>
      </c>
      <c r="D27" s="8">
        <f>D23/(PI()*(D25/CHOOSE(units,12,1000)/2)^2)</f>
        <v>3.981500837227229</v>
      </c>
    </row>
    <row r="28" spans="2:4" ht="12.75">
      <c r="B28" t="s">
        <v>976</v>
      </c>
      <c r="C28" t="str">
        <f>CHOOSE(units,"lb/ft2-s","kg/m2-s")</f>
        <v>lb/ft2-s</v>
      </c>
      <c r="D28" s="8">
        <f>D13*D27^2</f>
        <v>986.8449009126786</v>
      </c>
    </row>
    <row r="29" spans="2:4" ht="12.75">
      <c r="B29" t="s">
        <v>970</v>
      </c>
      <c r="C29" t="str">
        <f>CHOOSE(units,"lb","kg")</f>
        <v>lb</v>
      </c>
      <c r="D29">
        <f>VLOOKUP(D25,NozzleData,3)</f>
        <v>146</v>
      </c>
    </row>
    <row r="30" spans="2:4" ht="12.75">
      <c r="B30" t="s">
        <v>971</v>
      </c>
      <c r="C30" t="str">
        <f>CHOOSE(units,"ft3/s","m3/s")</f>
        <v>ft3/s</v>
      </c>
      <c r="D30" s="5">
        <f>D12/3600/D14</f>
        <v>5.306699778968582</v>
      </c>
    </row>
    <row r="31" spans="2:4" ht="12.75">
      <c r="B31" t="s">
        <v>967</v>
      </c>
      <c r="C31" t="str">
        <f>CHOOSE(units,"in","mm")</f>
        <v>in</v>
      </c>
      <c r="D31" s="8">
        <f>((D30/TS_MaxVelocity)*CHOOSE(units,12,1000)^2*4/PI())^0.5</f>
        <v>13.949658071288349</v>
      </c>
    </row>
    <row r="32" spans="2:4" ht="12.75">
      <c r="B32" t="s">
        <v>968</v>
      </c>
      <c r="C32" t="str">
        <f>CHOOSE(units,"in","mm")</f>
        <v>in</v>
      </c>
      <c r="D32">
        <f>VLOOKUP(D31*1.05,Nozzles,2)</f>
        <v>15.623999999999999</v>
      </c>
    </row>
    <row r="33" spans="2:4" ht="12.75">
      <c r="B33" t="s">
        <v>975</v>
      </c>
      <c r="C33" t="str">
        <f>CHOOSE(units,"in","DN")</f>
        <v>in</v>
      </c>
      <c r="D33">
        <f>VLOOKUP(D32,NozzleData,2)</f>
        <v>16</v>
      </c>
    </row>
    <row r="34" spans="2:4" ht="12.75">
      <c r="B34" t="s">
        <v>25</v>
      </c>
      <c r="C34" t="str">
        <f>INDEX(units_conv,12,units*2)</f>
        <v>ft/s</v>
      </c>
      <c r="D34" s="8">
        <f>D30/(PI()*(D32/CHOOSE(units,12,1000)/2)^2)</f>
        <v>3.9857739898089837</v>
      </c>
    </row>
    <row r="35" spans="2:4" ht="12.75">
      <c r="B35" t="s">
        <v>976</v>
      </c>
      <c r="C35" t="str">
        <f>CHOOSE(units,"lb/ft2-s","kg/m2-s")</f>
        <v>lb/ft2-s</v>
      </c>
      <c r="D35" s="8">
        <f>D14*D34^2</f>
        <v>987.9040338900469</v>
      </c>
    </row>
    <row r="36" spans="2:4" ht="12.75">
      <c r="B36" t="s">
        <v>970</v>
      </c>
      <c r="C36" t="str">
        <f>CHOOSE(units,"lb","kg")</f>
        <v>lb</v>
      </c>
      <c r="D36">
        <f>VLOOKUP(D32,NozzleData,3)</f>
        <v>146</v>
      </c>
    </row>
    <row r="38" ht="12.75">
      <c r="A38" s="379" t="s">
        <v>958</v>
      </c>
    </row>
    <row r="39" spans="2:4" ht="12.75">
      <c r="B39" t="s">
        <v>963</v>
      </c>
      <c r="C39" t="str">
        <f>CHOOSE(units,"ft3/s","m3/s")</f>
        <v>ft3/s</v>
      </c>
      <c r="D39" s="5">
        <f>D17/3600/D18</f>
        <v>1.7767972342646272</v>
      </c>
    </row>
    <row r="40" spans="2:4" ht="12.75">
      <c r="B40" t="s">
        <v>967</v>
      </c>
      <c r="C40" t="str">
        <f>CHOOSE(units,"in","mm")</f>
        <v>in</v>
      </c>
      <c r="D40" s="8">
        <f>((D39/SS_MaxVelocity)*CHOOSE(units,12,1000)^2*4/PI())^0.5</f>
        <v>10.420645281306044</v>
      </c>
    </row>
    <row r="41" spans="2:4" ht="12.75">
      <c r="B41" t="s">
        <v>968</v>
      </c>
      <c r="C41" t="str">
        <f>CHOOSE(units,"in","mm")</f>
        <v>in</v>
      </c>
      <c r="D41">
        <f>VLOOKUP(D40*1.05,Nozzles,2)</f>
        <v>12.39</v>
      </c>
    </row>
    <row r="42" spans="2:4" ht="12.75">
      <c r="B42" t="s">
        <v>975</v>
      </c>
      <c r="C42" t="str">
        <f>CHOOSE(units,"in","DN")</f>
        <v>in</v>
      </c>
      <c r="D42">
        <f>VLOOKUP(D41,NozzleData,2)</f>
        <v>12</v>
      </c>
    </row>
    <row r="43" spans="2:4" ht="12.75">
      <c r="B43" t="s">
        <v>25</v>
      </c>
      <c r="C43" t="str">
        <f>INDEX(units_conv,12,units*2)</f>
        <v>ft/s</v>
      </c>
      <c r="D43" s="8">
        <f>D39/(PI()*(D41/CHOOSE(units,12,1000)/2)^2)</f>
        <v>2.1221098808264482</v>
      </c>
    </row>
    <row r="44" spans="2:4" ht="12.75">
      <c r="B44" t="s">
        <v>976</v>
      </c>
      <c r="C44" t="str">
        <f>CHOOSE(units,"lb/ft2-s","kg/m2-s")</f>
        <v>lb/ft2-s</v>
      </c>
      <c r="D44" s="8">
        <f>D18*D43^2</f>
        <v>278.7985756282188</v>
      </c>
    </row>
    <row r="45" spans="2:4" ht="12.75">
      <c r="B45" t="s">
        <v>970</v>
      </c>
      <c r="C45" t="str">
        <f>CHOOSE(units,"lb","kg")</f>
        <v>lb</v>
      </c>
      <c r="D45">
        <f>VLOOKUP(D41,NozzleData,3)</f>
        <v>90</v>
      </c>
    </row>
    <row r="46" spans="2:4" ht="12.75">
      <c r="B46" t="s">
        <v>972</v>
      </c>
      <c r="C46" t="str">
        <f>CHOOSE(units,"ft3/s","m3/s")</f>
        <v>ft3/s</v>
      </c>
      <c r="D46" s="5">
        <f>D17/3600/D19</f>
        <v>1.7710710637554674</v>
      </c>
    </row>
    <row r="47" spans="2:4" ht="12.75">
      <c r="B47" t="s">
        <v>967</v>
      </c>
      <c r="C47" t="str">
        <f>CHOOSE(units,"in","mm")</f>
        <v>in</v>
      </c>
      <c r="D47" s="8">
        <f>((D46/SS_MaxVelocity)*CHOOSE(units,12,1000)^2*4/PI())^0.5</f>
        <v>10.40384017157426</v>
      </c>
    </row>
    <row r="48" spans="2:4" ht="12.75">
      <c r="B48" t="s">
        <v>968</v>
      </c>
      <c r="C48" t="str">
        <f>CHOOSE(units,"in","mm")</f>
        <v>in</v>
      </c>
      <c r="D48">
        <f>VLOOKUP(D47*1.05,Nozzles,2)</f>
        <v>12.39</v>
      </c>
    </row>
    <row r="49" spans="2:4" ht="12.75">
      <c r="B49" t="s">
        <v>975</v>
      </c>
      <c r="C49" t="str">
        <f>CHOOSE(units,"in","DN")</f>
        <v>in</v>
      </c>
      <c r="D49">
        <f>VLOOKUP(D48,NozzleData,2)</f>
        <v>12</v>
      </c>
    </row>
    <row r="50" spans="2:4" ht="12.75">
      <c r="B50" t="s">
        <v>25</v>
      </c>
      <c r="C50" t="str">
        <f>INDEX(units_conv,12,units*2)</f>
        <v>ft/s</v>
      </c>
      <c r="D50" s="8">
        <f>D46/(PI()*(D48/CHOOSE(units,12,1000)/2)^2)</f>
        <v>2.1152708545253893</v>
      </c>
    </row>
    <row r="51" spans="2:4" ht="12.75">
      <c r="B51" t="s">
        <v>976</v>
      </c>
      <c r="C51" t="str">
        <f>CHOOSE(units,"lb/ft2-s","kg/m2-s")</f>
        <v>lb/ft2-s</v>
      </c>
      <c r="D51" s="8">
        <f>D19*D50^2</f>
        <v>277.9000779544431</v>
      </c>
    </row>
    <row r="52" spans="2:4" ht="12.75">
      <c r="B52" t="s">
        <v>970</v>
      </c>
      <c r="C52" t="str">
        <f>CHOOSE(units,"lb","kg")</f>
        <v>lb</v>
      </c>
      <c r="D52">
        <f>VLOOKUP(D48,NozzleData,3)</f>
        <v>90</v>
      </c>
    </row>
  </sheetData>
  <sheetProtection/>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
  <dimension ref="A6:E49"/>
  <sheetViews>
    <sheetView zoomScalePageLayoutView="0" workbookViewId="0" topLeftCell="A1">
      <selection activeCell="A1" sqref="A1"/>
    </sheetView>
  </sheetViews>
  <sheetFormatPr defaultColWidth="9.140625" defaultRowHeight="12.75"/>
  <cols>
    <col min="2" max="2" width="26.00390625" style="0" customWidth="1"/>
    <col min="4" max="4" width="9.28125" style="0" bestFit="1" customWidth="1"/>
  </cols>
  <sheetData>
    <row r="6" ht="12.75">
      <c r="A6" s="1" t="s">
        <v>1</v>
      </c>
    </row>
    <row r="7" spans="2:4" ht="12.75">
      <c r="B7" t="s">
        <v>936</v>
      </c>
      <c r="C7" t="str">
        <f>CHOOSE(units,"in","mm")</f>
        <v>in</v>
      </c>
      <c r="D7" s="45">
        <v>0.9999999999999999</v>
      </c>
    </row>
    <row r="8" spans="2:4" ht="12.75">
      <c r="B8" t="s">
        <v>938</v>
      </c>
      <c r="C8" t="str">
        <f>CHOOSE(units,"in","mm")</f>
        <v>in</v>
      </c>
      <c r="D8" s="45">
        <v>0.49999999999999994</v>
      </c>
    </row>
    <row r="12" ht="12.75">
      <c r="A12" s="1" t="s">
        <v>601</v>
      </c>
    </row>
    <row r="13" spans="2:4" ht="12.75">
      <c r="B13" t="s">
        <v>919</v>
      </c>
      <c r="C13" t="str">
        <f>CHOOSE(units,"ft","m")</f>
        <v>ft</v>
      </c>
      <c r="D13">
        <f>Shell_ID*CHOOSE(units,1/12,1/1000)</f>
        <v>1.7708333333333333</v>
      </c>
    </row>
    <row r="14" spans="2:4" ht="12.75">
      <c r="B14" t="s">
        <v>926</v>
      </c>
      <c r="C14" t="str">
        <f>CHOOSE(units,"ft","m")</f>
        <v>ft</v>
      </c>
      <c r="D14">
        <f>VLOOKUP(D13/CHOOSE(units,1/12,1/1000),WeightData,7)*CHOOSE(units,1/12,1/1000)</f>
        <v>0.0625</v>
      </c>
    </row>
    <row r="15" spans="2:4" ht="12.75">
      <c r="B15" t="s">
        <v>920</v>
      </c>
      <c r="C15" t="str">
        <f>CHOOSE(units,"ft","m")</f>
        <v>ft</v>
      </c>
      <c r="D15">
        <f>TubeLength</f>
        <v>14.999999999999998</v>
      </c>
    </row>
    <row r="16" spans="2:4" ht="12.75">
      <c r="B16" t="s">
        <v>937</v>
      </c>
      <c r="D16">
        <f>NumberBaffles</f>
        <v>16</v>
      </c>
    </row>
    <row r="17" spans="2:4" ht="12.75">
      <c r="B17" t="s">
        <v>861</v>
      </c>
      <c r="C17" t="str">
        <f>CHOOSE(units,"ft","m")</f>
        <v>ft</v>
      </c>
      <c r="D17">
        <f>TubeOD*CHOOSE(units,1/12,1/1000)</f>
        <v>0.0625</v>
      </c>
    </row>
    <row r="18" spans="2:4" ht="12.75">
      <c r="B18" t="s">
        <v>921</v>
      </c>
      <c r="C18" t="str">
        <f>CHOOSE(units,"ft","m")</f>
        <v>ft</v>
      </c>
      <c r="D18">
        <f>TubeID*CHOOSE(units,1/12,1/1000)</f>
        <v>0.048666666666666664</v>
      </c>
    </row>
    <row r="19" spans="2:4" ht="12.75">
      <c r="B19" t="s">
        <v>922</v>
      </c>
      <c r="D19">
        <f>Notubes</f>
        <v>308</v>
      </c>
    </row>
    <row r="21" spans="2:4" ht="12.75">
      <c r="B21" t="s">
        <v>930</v>
      </c>
      <c r="C21" t="str">
        <f>CHOOSE(units,"lb/ft3","kg/m3")</f>
        <v>lb/ft3</v>
      </c>
      <c r="D21">
        <f>CHOOSE(units,489.5,7850)</f>
        <v>489.5</v>
      </c>
    </row>
    <row r="22" spans="2:4" ht="12.75">
      <c r="B22" t="s">
        <v>933</v>
      </c>
      <c r="C22" t="str">
        <f>CHOOSE(units,"lb/ft3","kg/m3")</f>
        <v>lb/ft3</v>
      </c>
      <c r="D22">
        <f>CHOOSE(units,62.4,1000)</f>
        <v>62.4</v>
      </c>
    </row>
    <row r="24" ht="12.75">
      <c r="A24" s="1" t="s">
        <v>518</v>
      </c>
    </row>
    <row r="25" spans="2:4" ht="12.75">
      <c r="B25" t="s">
        <v>948</v>
      </c>
      <c r="C25" t="str">
        <f>CHOOSE(units,"ft3","m3")</f>
        <v>ft3</v>
      </c>
      <c r="D25" s="8">
        <f>((PI()*((D13+D14)/2)^2)-(PI()*(D13/2)^2))*D15</f>
        <v>2.653786763042156</v>
      </c>
    </row>
    <row r="26" spans="2:4" ht="12.75">
      <c r="B26" t="s">
        <v>931</v>
      </c>
      <c r="C26" t="str">
        <f>CHOOSE(units,"lb","kg")</f>
        <v>lb</v>
      </c>
      <c r="D26" s="183">
        <f>D21*D25</f>
        <v>1299.0286205091354</v>
      </c>
    </row>
    <row r="27" spans="2:4" ht="12.75">
      <c r="B27" t="s">
        <v>943</v>
      </c>
      <c r="C27" t="str">
        <f>CHOOSE(units,"lb","kg")</f>
        <v>lb</v>
      </c>
      <c r="D27" s="183">
        <f>PI()*D13*D14*CHOOSE(units,1.5,0.5)*D21+2*PI()*(D13/2)^2*CHOOSE(units,1/12,0.025)*D21</f>
        <v>456.2313106283963</v>
      </c>
    </row>
    <row r="28" spans="2:4" ht="12.75">
      <c r="B28" t="s">
        <v>944</v>
      </c>
      <c r="C28" t="str">
        <f>CHOOSE(units,"lb","kg")</f>
        <v>lb</v>
      </c>
      <c r="D28" s="183">
        <f>VLOOKUP(Shell_ID,WeightData,10)*4</f>
        <v>720</v>
      </c>
    </row>
    <row r="29" spans="2:4" ht="12.75">
      <c r="B29" t="s">
        <v>946</v>
      </c>
      <c r="C29" t="str">
        <f>CHOOSE(units,"lb","kg")</f>
        <v>lb</v>
      </c>
      <c r="D29" s="21">
        <f>Nozzles!D45+Nozzles!D52</f>
        <v>180</v>
      </c>
    </row>
    <row r="30" spans="2:4" ht="12.75">
      <c r="B30" t="s">
        <v>945</v>
      </c>
      <c r="C30" t="str">
        <f>CHOOSE(units,"lb","kg")</f>
        <v>lb</v>
      </c>
      <c r="D30" s="399">
        <f>SUM(D26:D29)*1.05</f>
        <v>2788.0229276944083</v>
      </c>
    </row>
    <row r="31" ht="12.75">
      <c r="D31" s="8"/>
    </row>
    <row r="32" ht="12.75">
      <c r="D32" s="8"/>
    </row>
    <row r="33" spans="2:4" ht="12.75">
      <c r="B33" t="s">
        <v>932</v>
      </c>
      <c r="C33" t="str">
        <f>CHOOSE(units,"ft3","m3")</f>
        <v>ft3</v>
      </c>
      <c r="D33" s="8">
        <f>PI()*(D18/2)^2*D15*D19</f>
        <v>8.593994255503068</v>
      </c>
    </row>
    <row r="34" spans="2:4" ht="12.75">
      <c r="B34" t="s">
        <v>934</v>
      </c>
      <c r="C34" t="str">
        <f>CHOOSE(units,"ft3","m3")</f>
        <v>ft3</v>
      </c>
      <c r="D34" s="8">
        <f>PI()*(D17/2)^2*D15*D19</f>
        <v>14.173982480063323</v>
      </c>
    </row>
    <row r="35" spans="2:4" ht="12.75">
      <c r="B35" t="s">
        <v>935</v>
      </c>
      <c r="C35" t="str">
        <f>CHOOSE(units,"lb","kg")</f>
        <v>lb</v>
      </c>
      <c r="D35" s="183">
        <f>(D34-D33)*D21</f>
        <v>2731.404235922245</v>
      </c>
    </row>
    <row r="36" spans="2:5" ht="12.75">
      <c r="B36" t="s">
        <v>941</v>
      </c>
      <c r="C36" t="str">
        <f>CHOOSE(units,"lb","kg")</f>
        <v>lb</v>
      </c>
      <c r="D36" s="183">
        <f>(PI()*(D13/2)^2)*TubeSheetThickness*CHOOSE(units,1/12,1/1000)*D21*2</f>
        <v>200.930888100589</v>
      </c>
      <c r="E36" t="s">
        <v>940</v>
      </c>
    </row>
    <row r="37" spans="2:4" ht="12.75">
      <c r="B37" t="s">
        <v>946</v>
      </c>
      <c r="C37" t="str">
        <f>CHOOSE(units,"lb","kg")</f>
        <v>lb</v>
      </c>
      <c r="D37" s="183">
        <f>Nozzles!D29+Nozzles!D36</f>
        <v>292</v>
      </c>
    </row>
    <row r="38" spans="2:4" ht="12.75">
      <c r="B38" t="s">
        <v>939</v>
      </c>
      <c r="C38" t="str">
        <f>CHOOSE(units,"lb","kg")</f>
        <v>lb</v>
      </c>
      <c r="D38" s="398">
        <f>(PI()*(D13/2)^2)*BaffleThickness*CHOOSE(units,1/12,1/1000)*D21*D16</f>
        <v>803.723552402356</v>
      </c>
    </row>
    <row r="39" spans="2:4" ht="12.75">
      <c r="B39" t="s">
        <v>942</v>
      </c>
      <c r="C39" t="str">
        <f>CHOOSE(units,"lb","kg")</f>
        <v>lb</v>
      </c>
      <c r="D39" s="399">
        <f>SUM(D35:D38)*1.05</f>
        <v>4229.46161024645</v>
      </c>
    </row>
    <row r="41" spans="2:4" ht="12.75">
      <c r="B41" t="s">
        <v>947</v>
      </c>
      <c r="C41" t="str">
        <f>CHOOSE(units,"lb","kg")</f>
        <v>lb</v>
      </c>
      <c r="D41" s="400">
        <f>D30+D39</f>
        <v>7017.484537940858</v>
      </c>
    </row>
    <row r="44" spans="2:4" ht="12.75">
      <c r="B44" t="s">
        <v>949</v>
      </c>
      <c r="C44" t="str">
        <f>CHOOSE(units,"ft3","m3")</f>
        <v>ft3</v>
      </c>
      <c r="D44" s="8">
        <f>PI()*(D13/2)^2*D15</f>
        <v>36.943370641579186</v>
      </c>
    </row>
    <row r="45" spans="2:4" ht="12.75">
      <c r="B45" t="s">
        <v>950</v>
      </c>
      <c r="C45" t="str">
        <f>CHOOSE(units,"ft3","m3")</f>
        <v>ft3</v>
      </c>
      <c r="D45" s="8">
        <f>PI()*(D13/2)^2*CHOOSE(units,1.5,0.5)</f>
        <v>3.694337064157919</v>
      </c>
    </row>
    <row r="46" spans="2:4" ht="12.75">
      <c r="B46" t="s">
        <v>951</v>
      </c>
      <c r="C46" t="str">
        <f>CHOOSE(units,"ft3","m3")</f>
        <v>ft3</v>
      </c>
      <c r="D46" s="21">
        <f>-(D34-D33)</f>
        <v>-5.579988224560255</v>
      </c>
    </row>
    <row r="47" spans="2:4" ht="12.75">
      <c r="B47" t="s">
        <v>952</v>
      </c>
      <c r="C47" t="str">
        <f>CHOOSE(units,"lb","kg")</f>
        <v>lb</v>
      </c>
      <c r="D47" s="400">
        <f>SUM(D44:D46)*D22</f>
        <v>2187.6016956254357</v>
      </c>
    </row>
    <row r="49" spans="2:4" ht="12.75">
      <c r="B49" t="s">
        <v>953</v>
      </c>
      <c r="C49" t="str">
        <f>CHOOSE(units,"lb","kg")</f>
        <v>lb</v>
      </c>
      <c r="D49" s="401">
        <f>D41+D47</f>
        <v>9205.086233566293</v>
      </c>
    </row>
  </sheetData>
  <sheetProtection/>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2:N67"/>
  <sheetViews>
    <sheetView zoomScalePageLayoutView="0" workbookViewId="0" topLeftCell="A1">
      <selection activeCell="A1" sqref="A1"/>
    </sheetView>
  </sheetViews>
  <sheetFormatPr defaultColWidth="9.140625" defaultRowHeight="12.75"/>
  <cols>
    <col min="1" max="1" width="9.140625" style="11" customWidth="1"/>
    <col min="2" max="2" width="4.7109375" style="11" customWidth="1"/>
    <col min="3" max="8" width="5.7109375" style="11" customWidth="1"/>
    <col min="9" max="14" width="7.7109375" style="11" customWidth="1"/>
    <col min="15" max="16384" width="9.140625" style="11" customWidth="1"/>
  </cols>
  <sheetData>
    <row r="2" spans="1:14" s="9" customFormat="1" ht="12.75">
      <c r="A2" s="250"/>
      <c r="B2" s="250"/>
      <c r="C2" s="250"/>
      <c r="D2" s="250"/>
      <c r="E2" s="250"/>
      <c r="F2" s="250"/>
      <c r="G2" s="250"/>
      <c r="H2" s="250"/>
      <c r="I2" s="250"/>
      <c r="J2" s="250"/>
      <c r="K2" s="250"/>
      <c r="L2" s="250"/>
      <c r="M2" s="250"/>
      <c r="N2" s="250"/>
    </row>
    <row r="3" spans="1:14" s="9" customFormat="1" ht="12.75">
      <c r="A3" s="250"/>
      <c r="B3" s="250"/>
      <c r="C3" s="250"/>
      <c r="D3" s="250"/>
      <c r="E3" s="250"/>
      <c r="F3" s="250"/>
      <c r="G3" s="250"/>
      <c r="H3" s="250"/>
      <c r="I3" s="250"/>
      <c r="J3" s="250"/>
      <c r="K3" s="250"/>
      <c r="L3" s="250"/>
      <c r="M3" s="250"/>
      <c r="N3" s="250"/>
    </row>
    <row r="4" spans="1:14" s="9" customFormat="1" ht="12.75">
      <c r="A4" s="250"/>
      <c r="B4" s="250"/>
      <c r="C4" s="250"/>
      <c r="D4" s="250"/>
      <c r="E4" s="250"/>
      <c r="F4" s="250"/>
      <c r="G4" s="250"/>
      <c r="H4" s="250"/>
      <c r="I4" s="250"/>
      <c r="J4" s="250"/>
      <c r="K4" s="250"/>
      <c r="L4" s="250"/>
      <c r="M4" s="250"/>
      <c r="N4" s="250"/>
    </row>
    <row r="5" ht="12.75"/>
    <row r="6" s="9" customFormat="1" ht="13.5" thickBot="1"/>
    <row r="7" spans="1:14" s="257" customFormat="1" ht="14.25" customHeight="1" thickBot="1">
      <c r="A7" s="9"/>
      <c r="B7" s="251"/>
      <c r="C7" s="252"/>
      <c r="D7" s="252"/>
      <c r="E7" s="252"/>
      <c r="F7" s="252"/>
      <c r="G7" s="252"/>
      <c r="H7" s="253"/>
      <c r="I7" s="254" t="s">
        <v>748</v>
      </c>
      <c r="J7" s="255"/>
      <c r="K7" s="255"/>
      <c r="L7" s="255"/>
      <c r="M7" s="255"/>
      <c r="N7" s="256"/>
    </row>
    <row r="8" spans="1:14" ht="10.5" customHeight="1">
      <c r="A8" s="257"/>
      <c r="B8" s="258"/>
      <c r="C8" s="259"/>
      <c r="D8" s="259"/>
      <c r="E8" s="259"/>
      <c r="F8" s="259"/>
      <c r="G8" s="259"/>
      <c r="H8" s="260"/>
      <c r="I8" s="261" t="s">
        <v>749</v>
      </c>
      <c r="J8" s="262"/>
      <c r="K8" s="261" t="s">
        <v>750</v>
      </c>
      <c r="L8" s="262"/>
      <c r="M8" s="261" t="s">
        <v>751</v>
      </c>
      <c r="N8" s="262"/>
    </row>
    <row r="9" spans="2:14" ht="10.5" customHeight="1" thickBot="1">
      <c r="B9" s="263"/>
      <c r="C9" s="264"/>
      <c r="D9" s="264"/>
      <c r="E9" s="264"/>
      <c r="F9" s="264"/>
      <c r="G9" s="264"/>
      <c r="H9" s="265"/>
      <c r="I9" s="266"/>
      <c r="J9" s="267"/>
      <c r="K9" s="266"/>
      <c r="L9" s="267"/>
      <c r="M9" s="268" t="s">
        <v>752</v>
      </c>
      <c r="N9" s="269"/>
    </row>
    <row r="10" spans="2:14" ht="10.5" customHeight="1">
      <c r="B10" s="270" t="s">
        <v>753</v>
      </c>
      <c r="C10" s="271" t="s">
        <v>754</v>
      </c>
      <c r="D10" s="272"/>
      <c r="E10" s="271" t="s">
        <v>755</v>
      </c>
      <c r="F10" s="272"/>
      <c r="G10" s="271" t="s">
        <v>756</v>
      </c>
      <c r="H10" s="273"/>
      <c r="I10" s="261" t="s">
        <v>757</v>
      </c>
      <c r="J10" s="262"/>
      <c r="K10" s="261" t="s">
        <v>758</v>
      </c>
      <c r="L10" s="262"/>
      <c r="M10" s="261" t="s">
        <v>759</v>
      </c>
      <c r="N10" s="262"/>
    </row>
    <row r="11" spans="2:14" ht="10.5" customHeight="1" thickBot="1">
      <c r="B11" s="274">
        <v>0</v>
      </c>
      <c r="C11" s="275"/>
      <c r="D11" s="276"/>
      <c r="E11" s="277"/>
      <c r="F11" s="276"/>
      <c r="G11" s="275"/>
      <c r="H11" s="278"/>
      <c r="I11" s="268"/>
      <c r="J11" s="269"/>
      <c r="K11" s="268" t="s">
        <v>752</v>
      </c>
      <c r="L11" s="269"/>
      <c r="M11" s="268"/>
      <c r="N11" s="269"/>
    </row>
    <row r="12" spans="2:14" ht="10.5" customHeight="1">
      <c r="B12" s="274">
        <v>1</v>
      </c>
      <c r="C12" s="275"/>
      <c r="D12" s="276"/>
      <c r="E12" s="275"/>
      <c r="F12" s="279"/>
      <c r="G12" s="275"/>
      <c r="H12" s="278"/>
      <c r="I12" s="261" t="s">
        <v>760</v>
      </c>
      <c r="J12" s="280" t="s">
        <v>761</v>
      </c>
      <c r="K12" s="261" t="s">
        <v>762</v>
      </c>
      <c r="L12" s="262"/>
      <c r="M12" s="261" t="s">
        <v>763</v>
      </c>
      <c r="N12" s="262"/>
    </row>
    <row r="13" spans="2:14" ht="10.5" customHeight="1" thickBot="1">
      <c r="B13" s="281">
        <v>2</v>
      </c>
      <c r="C13" s="282"/>
      <c r="D13" s="283"/>
      <c r="E13" s="282"/>
      <c r="F13" s="283"/>
      <c r="G13" s="282"/>
      <c r="H13" s="284"/>
      <c r="I13" s="285"/>
      <c r="J13" s="286"/>
      <c r="K13" s="268"/>
      <c r="L13" s="269"/>
      <c r="M13" s="268"/>
      <c r="N13" s="269"/>
    </row>
    <row r="14" spans="1:14" s="291" customFormat="1" ht="10.5" customHeight="1">
      <c r="A14" s="11"/>
      <c r="B14" s="287"/>
      <c r="C14" s="288"/>
      <c r="D14" s="288"/>
      <c r="E14" s="288"/>
      <c r="F14" s="288"/>
      <c r="G14" s="288"/>
      <c r="H14" s="288"/>
      <c r="I14" s="288"/>
      <c r="J14" s="289"/>
      <c r="K14" s="289"/>
      <c r="L14" s="289"/>
      <c r="M14" s="289"/>
      <c r="N14" s="290"/>
    </row>
    <row r="15" spans="2:14" ht="10.5" customHeight="1">
      <c r="B15" s="292">
        <v>1</v>
      </c>
      <c r="C15" s="293" t="s">
        <v>764</v>
      </c>
      <c r="D15" s="294"/>
      <c r="E15" s="406"/>
      <c r="F15" s="295" t="s">
        <v>765</v>
      </c>
      <c r="G15" s="295"/>
      <c r="H15" s="296"/>
      <c r="I15" s="406"/>
      <c r="J15" s="278" t="s">
        <v>766</v>
      </c>
      <c r="K15" s="297"/>
      <c r="L15" s="295"/>
      <c r="M15" s="298"/>
      <c r="N15" s="299"/>
    </row>
    <row r="16" spans="2:14" ht="10.5" customHeight="1" thickBot="1">
      <c r="B16" s="292">
        <v>2</v>
      </c>
      <c r="C16" s="300" t="s">
        <v>767</v>
      </c>
      <c r="D16" s="301"/>
      <c r="E16" s="301"/>
      <c r="F16" s="301">
        <f>A_Outside</f>
        <v>907.1348787240526</v>
      </c>
      <c r="G16" s="413"/>
      <c r="H16" s="301" t="s">
        <v>768</v>
      </c>
      <c r="I16" s="301"/>
      <c r="J16" s="414">
        <f>NoShell</f>
        <v>1</v>
      </c>
      <c r="K16" s="302" t="s">
        <v>769</v>
      </c>
      <c r="L16" s="303"/>
      <c r="M16" s="304">
        <f>A_Outside/NoShell</f>
        <v>907.1348787240526</v>
      </c>
      <c r="N16" s="305" t="str">
        <f>INDEX(units_conv,13,units*2)</f>
        <v>ft²</v>
      </c>
    </row>
    <row r="17" spans="2:14" ht="10.5" customHeight="1" thickBot="1">
      <c r="B17" s="292">
        <v>3</v>
      </c>
      <c r="C17" s="306" t="s">
        <v>770</v>
      </c>
      <c r="D17" s="307"/>
      <c r="E17" s="307"/>
      <c r="F17" s="307"/>
      <c r="G17" s="307"/>
      <c r="H17" s="307"/>
      <c r="I17" s="307"/>
      <c r="J17" s="307"/>
      <c r="K17" s="307"/>
      <c r="L17" s="307"/>
      <c r="M17" s="307"/>
      <c r="N17" s="308"/>
    </row>
    <row r="18" spans="2:14" ht="10.5" customHeight="1" thickBot="1">
      <c r="B18" s="292">
        <v>4</v>
      </c>
      <c r="C18" s="293" t="s">
        <v>771</v>
      </c>
      <c r="D18" s="295"/>
      <c r="E18" s="295"/>
      <c r="F18" s="295"/>
      <c r="G18" s="295"/>
      <c r="H18" s="278"/>
      <c r="I18" s="309" t="s">
        <v>90</v>
      </c>
      <c r="J18" s="310"/>
      <c r="K18" s="295"/>
      <c r="L18" s="309" t="s">
        <v>91</v>
      </c>
      <c r="M18" s="310"/>
      <c r="N18" s="299"/>
    </row>
    <row r="19" spans="2:14" ht="10.5" customHeight="1">
      <c r="B19" s="292">
        <v>6</v>
      </c>
      <c r="C19" s="293" t="s">
        <v>28</v>
      </c>
      <c r="D19" s="295"/>
      <c r="E19" s="295"/>
      <c r="F19" s="311"/>
      <c r="G19" s="278"/>
      <c r="H19" s="278"/>
      <c r="I19" s="312" t="str">
        <f>CHOOSE(Tubes,TS_Name,SS_Name)</f>
        <v>Distilled Water</v>
      </c>
      <c r="J19" s="313"/>
      <c r="K19" s="295"/>
      <c r="L19" s="312" t="str">
        <f>CHOOSE(Tubes,SS_Name,TS_Name)</f>
        <v>Raw Water</v>
      </c>
      <c r="M19" s="313"/>
      <c r="N19" s="299"/>
    </row>
    <row r="20" spans="2:14" ht="10.5" customHeight="1">
      <c r="B20" s="292">
        <v>7</v>
      </c>
      <c r="C20" s="293" t="s">
        <v>29</v>
      </c>
      <c r="D20" s="295"/>
      <c r="E20" s="295"/>
      <c r="F20" s="278" t="str">
        <f aca="true" t="shared" si="0" ref="F20:F25">INDEX(units_conv,15,units*2)</f>
        <v>lb/h</v>
      </c>
      <c r="G20" s="314" t="s">
        <v>196</v>
      </c>
      <c r="H20" s="315"/>
      <c r="I20" s="316">
        <f>CHOOSE(Tubes,TS_Flow,SS_Flow)</f>
        <v>396000.00000000006</v>
      </c>
      <c r="J20" s="313"/>
      <c r="K20" s="295"/>
      <c r="L20" s="316">
        <f>CHOOSE(Tubes,SS_Flow,TS_Flow)</f>
        <v>1188000</v>
      </c>
      <c r="M20" s="313"/>
      <c r="N20" s="299"/>
    </row>
    <row r="21" spans="2:14" ht="10.5" customHeight="1">
      <c r="B21" s="292">
        <v>8</v>
      </c>
      <c r="C21" s="317" t="s">
        <v>22</v>
      </c>
      <c r="D21" s="295"/>
      <c r="E21" s="295"/>
      <c r="F21" s="278" t="str">
        <f t="shared" si="0"/>
        <v>lb/h</v>
      </c>
      <c r="G21" s="314" t="s">
        <v>772</v>
      </c>
      <c r="H21" s="278"/>
      <c r="I21" s="382"/>
      <c r="J21" s="382"/>
      <c r="K21" s="383"/>
      <c r="L21" s="382"/>
      <c r="M21" s="382"/>
      <c r="N21" s="299"/>
    </row>
    <row r="22" spans="2:14" ht="10.5" customHeight="1">
      <c r="B22" s="292">
        <v>9</v>
      </c>
      <c r="C22" s="317" t="s">
        <v>16</v>
      </c>
      <c r="D22" s="295"/>
      <c r="E22" s="295"/>
      <c r="F22" s="278" t="str">
        <f t="shared" si="0"/>
        <v>lb/h</v>
      </c>
      <c r="G22" s="314" t="s">
        <v>772</v>
      </c>
      <c r="H22" s="315"/>
      <c r="I22" s="382">
        <f>CHOOSE(Tubes,TS_Flow,SS_Flow)</f>
        <v>396000.00000000006</v>
      </c>
      <c r="J22" s="382"/>
      <c r="K22" s="383"/>
      <c r="L22" s="382">
        <f>CHOOSE(Tubes,SS_Flow,TS_Flow)</f>
        <v>1188000</v>
      </c>
      <c r="M22" s="382"/>
      <c r="N22" s="299"/>
    </row>
    <row r="23" spans="2:14" ht="10.5" customHeight="1">
      <c r="B23" s="292">
        <v>10</v>
      </c>
      <c r="C23" s="317" t="s">
        <v>30</v>
      </c>
      <c r="D23" s="295"/>
      <c r="E23" s="295"/>
      <c r="F23" s="278" t="str">
        <f t="shared" si="0"/>
        <v>lb/h</v>
      </c>
      <c r="G23" s="314" t="s">
        <v>772</v>
      </c>
      <c r="H23" s="315"/>
      <c r="I23" s="384"/>
      <c r="J23" s="384"/>
      <c r="K23" s="383"/>
      <c r="L23" s="384"/>
      <c r="M23" s="384"/>
      <c r="N23" s="299"/>
    </row>
    <row r="24" spans="2:14" ht="10.5" customHeight="1">
      <c r="B24" s="292">
        <v>11</v>
      </c>
      <c r="C24" s="317" t="s">
        <v>20</v>
      </c>
      <c r="D24" s="295"/>
      <c r="E24" s="295"/>
      <c r="F24" s="278" t="str">
        <f t="shared" si="0"/>
        <v>lb/h</v>
      </c>
      <c r="G24" s="314" t="s">
        <v>772</v>
      </c>
      <c r="H24" s="315"/>
      <c r="I24" s="382"/>
      <c r="J24" s="382"/>
      <c r="K24" s="383"/>
      <c r="L24" s="382"/>
      <c r="M24" s="382"/>
      <c r="N24" s="299"/>
    </row>
    <row r="25" spans="2:14" ht="10.5" customHeight="1">
      <c r="B25" s="292">
        <v>12</v>
      </c>
      <c r="C25" s="317" t="s">
        <v>89</v>
      </c>
      <c r="D25" s="295"/>
      <c r="E25" s="295"/>
      <c r="F25" s="278" t="str">
        <f t="shared" si="0"/>
        <v>lb/h</v>
      </c>
      <c r="G25" s="314" t="s">
        <v>772</v>
      </c>
      <c r="H25" s="295"/>
      <c r="I25" s="384"/>
      <c r="J25" s="382"/>
      <c r="K25" s="383"/>
      <c r="L25" s="384"/>
      <c r="M25" s="382"/>
      <c r="N25" s="299"/>
    </row>
    <row r="26" spans="2:14" ht="10.5" customHeight="1">
      <c r="B26" s="292">
        <v>13</v>
      </c>
      <c r="C26" s="293" t="s">
        <v>32</v>
      </c>
      <c r="D26" s="295"/>
      <c r="E26" s="295"/>
      <c r="F26" s="278" t="str">
        <f>CHOOSE(units,"°F","°C")</f>
        <v>°F</v>
      </c>
      <c r="G26" s="314" t="s">
        <v>772</v>
      </c>
      <c r="H26" s="295"/>
      <c r="I26" s="318">
        <f>CHOOSE(Tubes,TS_Tin,SS_Tin)</f>
        <v>89.6</v>
      </c>
      <c r="J26" s="318">
        <f>CHOOSE(Tubes,TS_Tout,SS_Tout)</f>
        <v>77</v>
      </c>
      <c r="K26" s="295"/>
      <c r="L26" s="318">
        <f>CHOOSE(Tubes,SS_Tin,TS_Tin)</f>
        <v>68</v>
      </c>
      <c r="M26" s="318">
        <f>CHOOSE(Tubes,SS_Tout,TS_Tout)</f>
        <v>72.20124928377984</v>
      </c>
      <c r="N26" s="299"/>
    </row>
    <row r="27" spans="2:14" ht="10.5" customHeight="1">
      <c r="B27" s="292">
        <v>14</v>
      </c>
      <c r="C27" s="293" t="s">
        <v>0</v>
      </c>
      <c r="D27" s="295"/>
      <c r="E27" s="295"/>
      <c r="F27" s="278" t="str">
        <f>INDEX(units_conv,18,units*2)</f>
        <v>lb/ft3</v>
      </c>
      <c r="G27" s="314"/>
      <c r="H27" s="295"/>
      <c r="I27" s="319">
        <f>CHOOSE(Tubes,TS_DensityIn,SS_DensityIn)</f>
        <v>61.90914634416702</v>
      </c>
      <c r="J27" s="319">
        <f>CHOOSE(Tubes,TS_DensityOut,SS_DensityOut)</f>
        <v>62.10930902272805</v>
      </c>
      <c r="K27" s="295"/>
      <c r="L27" s="319">
        <f>CHOOSE(Tubes,SS_DensityIn,TS_DensityIn)</f>
        <v>62.25228236455735</v>
      </c>
      <c r="M27" s="319">
        <f>CHOOSE(Tubes,SS_DensityOut,TS_DensityOut)</f>
        <v>62.18554162567291</v>
      </c>
      <c r="N27" s="299"/>
    </row>
    <row r="28" spans="2:14" ht="10.5" customHeight="1">
      <c r="B28" s="292">
        <v>15</v>
      </c>
      <c r="C28" s="293" t="s">
        <v>3</v>
      </c>
      <c r="D28" s="295"/>
      <c r="E28" s="295"/>
      <c r="F28" s="278" t="s">
        <v>4</v>
      </c>
      <c r="G28" s="314"/>
      <c r="H28" s="295"/>
      <c r="I28" s="320">
        <f>CHOOSE(Tubes,TS_ViscosityIn,SS_ViscosityIn)</f>
        <v>0.7740943942823886</v>
      </c>
      <c r="J28" s="320">
        <f>CHOOSE(Tubes,TS_ViscosityOut,SS_ViscosityOut)</f>
        <v>0.9024967404929959</v>
      </c>
      <c r="K28" s="321"/>
      <c r="L28" s="320">
        <f>CHOOSE(Tubes,SS_ViscosityIn,TS_ViscosityIn)</f>
        <v>1.0159835467780003</v>
      </c>
      <c r="M28" s="320">
        <f>CHOOSE(Tubes,SS_ViscosityOut,TS_ViscosityOut)</f>
        <v>0.9603971571617148</v>
      </c>
      <c r="N28" s="299"/>
    </row>
    <row r="29" spans="2:14" ht="10.5" customHeight="1">
      <c r="B29" s="292">
        <v>16</v>
      </c>
      <c r="C29" s="293" t="s">
        <v>92</v>
      </c>
      <c r="D29" s="295"/>
      <c r="E29" s="295"/>
      <c r="F29" s="278"/>
      <c r="G29" s="314"/>
      <c r="H29" s="295"/>
      <c r="I29" s="322"/>
      <c r="J29" s="322"/>
      <c r="K29" s="321"/>
      <c r="L29" s="322"/>
      <c r="M29" s="322"/>
      <c r="N29" s="299"/>
    </row>
    <row r="30" spans="2:14" ht="10.5" customHeight="1">
      <c r="B30" s="292">
        <v>17</v>
      </c>
      <c r="C30" s="293" t="s">
        <v>34</v>
      </c>
      <c r="D30" s="295"/>
      <c r="E30" s="295"/>
      <c r="F30" s="278" t="str">
        <f>INDEX(units_conv,10,units*2)</f>
        <v>Btu/lb-°F</v>
      </c>
      <c r="G30" s="314"/>
      <c r="H30" s="295"/>
      <c r="I30" s="319">
        <f>CHOOSE(Tubes,TS_CpIn,SS_CpIn)</f>
        <v>1.0027774669052627</v>
      </c>
      <c r="J30" s="319">
        <f>CHOOSE(Tubes,TS_CpOut,SS_CpOut)</f>
        <v>1.0024928617596298</v>
      </c>
      <c r="K30" s="295"/>
      <c r="L30" s="319">
        <f>CHOOSE(Tubes,SS_CpIn,TS_CpIn)</f>
        <v>1.002289572369892</v>
      </c>
      <c r="M30" s="319">
        <f>CHOOSE(Tubes,SS_CpOut,TS_CpOut)</f>
        <v>1.0023844689702293</v>
      </c>
      <c r="N30" s="299"/>
    </row>
    <row r="31" spans="2:14" ht="10.5" customHeight="1">
      <c r="B31" s="292">
        <v>18</v>
      </c>
      <c r="C31" s="293" t="s">
        <v>33</v>
      </c>
      <c r="D31" s="295"/>
      <c r="E31" s="295"/>
      <c r="F31" s="278" t="str">
        <f>INDEX(units_conv,5,units*2)</f>
        <v>Btu/h-ft-°F</v>
      </c>
      <c r="G31" s="314"/>
      <c r="H31" s="295"/>
      <c r="I31" s="318">
        <f>CHOOSE(Tubes,TS_TcIn,SS_TCIn)</f>
        <v>0.35043440504497053</v>
      </c>
      <c r="J31" s="318">
        <f>CHOOSE(Tubes,TS_TCOut,SS_TcOut)</f>
        <v>0.34568138116406494</v>
      </c>
      <c r="K31" s="295"/>
      <c r="L31" s="318">
        <f>CHOOSE(Tubes,SS_TCIn,TS_TcIn)</f>
        <v>0.34228636410627516</v>
      </c>
      <c r="M31" s="318">
        <f>CHOOSE(Tubes,SS_TcOut,TS_TCOut)</f>
        <v>0.3438711766598818</v>
      </c>
      <c r="N31" s="299"/>
    </row>
    <row r="32" spans="2:14" ht="10.5" customHeight="1">
      <c r="B32" s="292">
        <v>19</v>
      </c>
      <c r="C32" s="293" t="s">
        <v>35</v>
      </c>
      <c r="D32" s="295"/>
      <c r="E32" s="295"/>
      <c r="F32" s="278" t="str">
        <f>INDEX(units_conv,16,units*2)</f>
        <v>Btu/lb</v>
      </c>
      <c r="G32" s="314"/>
      <c r="H32" s="295"/>
      <c r="I32" s="323"/>
      <c r="J32" s="313"/>
      <c r="K32" s="295"/>
      <c r="L32" s="323"/>
      <c r="M32" s="313"/>
      <c r="N32" s="299"/>
    </row>
    <row r="33" spans="2:14" ht="10.5" customHeight="1">
      <c r="B33" s="292">
        <v>20</v>
      </c>
      <c r="C33" s="293" t="s">
        <v>11</v>
      </c>
      <c r="D33" s="295"/>
      <c r="E33" s="295"/>
      <c r="F33" s="278" t="str">
        <f>INDEX(units_conv,14,units*2)&amp;"g"</f>
        <v>psigg</v>
      </c>
      <c r="G33" s="314" t="s">
        <v>773</v>
      </c>
      <c r="H33" s="295"/>
      <c r="I33" s="324">
        <f>CHOOSE(Tubes,TS_Pin,SS_Pin)</f>
        <v>29.00754</v>
      </c>
      <c r="J33" s="313"/>
      <c r="K33" s="295"/>
      <c r="L33" s="324">
        <f>CHOOSE(Tubes,SS_Pin,TS_Pin)</f>
        <v>60</v>
      </c>
      <c r="M33" s="313"/>
      <c r="N33" s="299"/>
    </row>
    <row r="34" spans="2:14" ht="10.5" customHeight="1">
      <c r="B34" s="292">
        <v>21</v>
      </c>
      <c r="C34" s="293" t="s">
        <v>25</v>
      </c>
      <c r="D34" s="295"/>
      <c r="E34" s="295"/>
      <c r="F34" s="278" t="str">
        <f>INDEX(units_conv,12,units*2)</f>
        <v>ft/s</v>
      </c>
      <c r="G34" s="314"/>
      <c r="H34" s="295"/>
      <c r="I34" s="325">
        <f>ShellVelocity</f>
        <v>3.7686409674373134</v>
      </c>
      <c r="J34" s="313"/>
      <c r="K34" s="295"/>
      <c r="L34" s="325">
        <f>TubesVelocity</f>
        <v>9.257372246792148</v>
      </c>
      <c r="M34" s="313"/>
      <c r="N34" s="299"/>
    </row>
    <row r="35" spans="2:14" ht="10.5" customHeight="1">
      <c r="B35" s="292">
        <v>22</v>
      </c>
      <c r="C35" s="293" t="s">
        <v>775</v>
      </c>
      <c r="D35" s="295"/>
      <c r="E35" s="295"/>
      <c r="F35" s="278" t="str">
        <f>INDEX(units_conv,14,units*2)</f>
        <v>psig</v>
      </c>
      <c r="G35" s="314"/>
      <c r="H35" s="311"/>
      <c r="I35" s="318">
        <f>CHOOSE(Tubes,TS_PAllow,SS_PAllow)</f>
        <v>1.5</v>
      </c>
      <c r="J35" s="318">
        <f>ShellPressureDrop</f>
        <v>3.51458153207426</v>
      </c>
      <c r="K35" s="295"/>
      <c r="L35" s="318">
        <f>CHOOSE(Tubes,SS_PAllow,TS_PAllow)</f>
        <v>10</v>
      </c>
      <c r="M35" s="318">
        <f>TubesPressureDrop</f>
        <v>4.781326164697615</v>
      </c>
      <c r="N35" s="299"/>
    </row>
    <row r="36" spans="2:14" ht="10.5" customHeight="1">
      <c r="B36" s="292">
        <v>23</v>
      </c>
      <c r="C36" s="293" t="s">
        <v>774</v>
      </c>
      <c r="D36" s="295"/>
      <c r="E36" s="295"/>
      <c r="F36" s="278" t="str">
        <f>INDEX(units_conv,8,units*2)</f>
        <v>ft²-h-°F/Btu</v>
      </c>
      <c r="G36" s="314"/>
      <c r="H36" s="278"/>
      <c r="I36" s="326">
        <f>CHOOSE(Tubes,TS_Fouling,SS_Fouling)</f>
        <v>0.000499687144</v>
      </c>
      <c r="J36" s="313"/>
      <c r="K36" s="295"/>
      <c r="L36" s="326">
        <f>CHOOSE(Tubes,SS_Fouling,TS_Fouling)</f>
        <v>0.000499687144</v>
      </c>
      <c r="M36" s="313"/>
      <c r="N36" s="299"/>
    </row>
    <row r="37" spans="2:14" ht="10.5" customHeight="1">
      <c r="B37" s="292">
        <v>24</v>
      </c>
      <c r="C37" s="293" t="s">
        <v>776</v>
      </c>
      <c r="D37" s="295"/>
      <c r="E37" s="295"/>
      <c r="F37" s="278" t="str">
        <f>INDEX(units_conv,6,units*2)</f>
        <v>Btu/hr</v>
      </c>
      <c r="G37" s="314"/>
      <c r="H37" s="278"/>
      <c r="I37" s="327">
        <f>'Process Data'!H15</f>
        <v>5002748.415953172</v>
      </c>
      <c r="J37" s="313"/>
      <c r="K37" s="295" t="str">
        <f>CHOOSE(units,"LMTD (corrected) °F","LMTD (corrected) °C")</f>
        <v>LMTD (corrected) °F</v>
      </c>
      <c r="L37" s="328"/>
      <c r="M37" s="329">
        <f>MTD</f>
        <v>12.741329152517334</v>
      </c>
      <c r="N37" s="299"/>
    </row>
    <row r="38" spans="2:14" ht="10.5" customHeight="1" thickBot="1">
      <c r="B38" s="292">
        <v>25</v>
      </c>
      <c r="C38" s="330" t="s">
        <v>777</v>
      </c>
      <c r="D38" s="331"/>
      <c r="E38" s="331"/>
      <c r="F38" s="332" t="str">
        <f>INDEX(units_conv,4,units*2)</f>
        <v>Btu/h-ft²-°F</v>
      </c>
      <c r="G38" s="333"/>
      <c r="H38" s="332" t="s">
        <v>778</v>
      </c>
      <c r="I38" s="334"/>
      <c r="J38" s="415">
        <f>U_Fouled</f>
        <v>319.361631778886</v>
      </c>
      <c r="K38" s="331" t="s">
        <v>779</v>
      </c>
      <c r="L38" s="336"/>
      <c r="M38" s="335">
        <f>U_Clean</f>
        <v>502.55350490528184</v>
      </c>
      <c r="N38" s="337"/>
    </row>
    <row r="39" spans="2:14" ht="10.5" customHeight="1" thickBot="1">
      <c r="B39" s="292">
        <v>26</v>
      </c>
      <c r="C39" s="306" t="s">
        <v>780</v>
      </c>
      <c r="D39" s="307"/>
      <c r="E39" s="307"/>
      <c r="F39" s="307"/>
      <c r="G39" s="307"/>
      <c r="H39" s="307"/>
      <c r="I39" s="307"/>
      <c r="J39" s="307"/>
      <c r="K39" s="307"/>
      <c r="L39" s="307"/>
      <c r="M39" s="307"/>
      <c r="N39" s="308"/>
    </row>
    <row r="40" spans="2:14" ht="10.5" customHeight="1" thickBot="1">
      <c r="B40" s="292">
        <v>27</v>
      </c>
      <c r="C40" s="338"/>
      <c r="D40" s="339"/>
      <c r="E40" s="339"/>
      <c r="F40" s="273"/>
      <c r="G40" s="309" t="s">
        <v>90</v>
      </c>
      <c r="H40" s="310"/>
      <c r="I40" s="307" t="s">
        <v>91</v>
      </c>
      <c r="J40" s="307"/>
      <c r="K40" s="340" t="s">
        <v>781</v>
      </c>
      <c r="L40" s="341"/>
      <c r="M40" s="341"/>
      <c r="N40" s="342"/>
    </row>
    <row r="41" spans="2:14" ht="10.5" customHeight="1">
      <c r="B41" s="292">
        <v>28</v>
      </c>
      <c r="C41" s="293" t="s">
        <v>782</v>
      </c>
      <c r="D41" s="295"/>
      <c r="E41" s="295"/>
      <c r="F41" s="295" t="str">
        <f>INDEX(units_conv,14,units*2)&amp;"g"</f>
        <v>psigg</v>
      </c>
      <c r="G41" s="343"/>
      <c r="H41" s="344"/>
      <c r="I41" s="345"/>
      <c r="J41" s="273"/>
      <c r="K41" s="346"/>
      <c r="L41" s="347"/>
      <c r="M41" s="347"/>
      <c r="N41" s="348"/>
    </row>
    <row r="42" spans="2:14" ht="10.5" customHeight="1">
      <c r="B42" s="292">
        <v>29</v>
      </c>
      <c r="C42" s="293" t="s">
        <v>783</v>
      </c>
      <c r="D42" s="295"/>
      <c r="E42" s="295"/>
      <c r="F42" s="278" t="str">
        <f>CHOOSE(units,"°F","°C")</f>
        <v>°F</v>
      </c>
      <c r="G42" s="349"/>
      <c r="H42" s="313"/>
      <c r="I42" s="345"/>
      <c r="J42" s="328"/>
      <c r="K42" s="346"/>
      <c r="L42" s="347"/>
      <c r="M42" s="347"/>
      <c r="N42" s="348"/>
    </row>
    <row r="43" spans="2:14" ht="10.5" customHeight="1">
      <c r="B43" s="292">
        <v>30</v>
      </c>
      <c r="C43" s="293" t="s">
        <v>784</v>
      </c>
      <c r="D43" s="295"/>
      <c r="E43" s="295"/>
      <c r="F43" s="295"/>
      <c r="G43" s="349">
        <f>ShellPasses/NoShell</f>
        <v>1</v>
      </c>
      <c r="H43" s="313"/>
      <c r="I43" s="345">
        <f>TubePasses/NoShell</f>
        <v>1</v>
      </c>
      <c r="J43" s="328"/>
      <c r="K43" s="346"/>
      <c r="L43" s="347"/>
      <c r="M43" s="347"/>
      <c r="N43" s="348"/>
    </row>
    <row r="44" spans="2:14" ht="10.5" customHeight="1">
      <c r="B44" s="292">
        <v>31</v>
      </c>
      <c r="C44" s="293" t="s">
        <v>785</v>
      </c>
      <c r="D44" s="295"/>
      <c r="E44" s="295"/>
      <c r="F44" s="278" t="str">
        <f>INDEX(units_conv,2,units*2)</f>
        <v>in</v>
      </c>
      <c r="G44" s="349"/>
      <c r="H44" s="313"/>
      <c r="I44" s="345"/>
      <c r="J44" s="328"/>
      <c r="K44" s="346"/>
      <c r="L44" s="347"/>
      <c r="M44" s="347"/>
      <c r="N44" s="348"/>
    </row>
    <row r="45" spans="2:14" ht="10.5" customHeight="1">
      <c r="B45" s="292">
        <v>32</v>
      </c>
      <c r="C45" s="417" t="s">
        <v>821</v>
      </c>
      <c r="D45" s="418"/>
      <c r="E45" s="295" t="s">
        <v>36</v>
      </c>
      <c r="F45" s="295" t="str">
        <f>CHOOSE(units,"inches","DN")</f>
        <v>inches</v>
      </c>
      <c r="G45" s="325">
        <f>SS_NozzleIn</f>
        <v>12</v>
      </c>
      <c r="H45" s="313"/>
      <c r="I45" s="325">
        <f>TS_NozzleIn</f>
        <v>16</v>
      </c>
      <c r="J45" s="313"/>
      <c r="K45" s="346"/>
      <c r="L45" s="347"/>
      <c r="M45" s="347"/>
      <c r="N45" s="348"/>
    </row>
    <row r="46" spans="2:14" ht="10.5" customHeight="1">
      <c r="B46" s="292">
        <v>33</v>
      </c>
      <c r="C46" s="419"/>
      <c r="D46" s="420"/>
      <c r="E46" s="295" t="s">
        <v>37</v>
      </c>
      <c r="F46" s="295"/>
      <c r="G46" s="325">
        <f>SS_NozzleOut</f>
        <v>12</v>
      </c>
      <c r="H46" s="313"/>
      <c r="I46" s="325">
        <f>TS_NozzleOut</f>
        <v>16</v>
      </c>
      <c r="J46" s="313"/>
      <c r="K46" s="346"/>
      <c r="L46" s="347"/>
      <c r="M46" s="347"/>
      <c r="N46" s="348"/>
    </row>
    <row r="47" spans="2:14" ht="10.5" customHeight="1" thickBot="1">
      <c r="B47" s="292">
        <v>34</v>
      </c>
      <c r="C47" s="421"/>
      <c r="D47" s="422"/>
      <c r="E47" s="278" t="s">
        <v>131</v>
      </c>
      <c r="F47" s="278"/>
      <c r="G47" s="349"/>
      <c r="H47" s="313"/>
      <c r="I47" s="345"/>
      <c r="J47" s="328"/>
      <c r="K47" s="350"/>
      <c r="L47" s="351"/>
      <c r="M47" s="351"/>
      <c r="N47" s="352"/>
    </row>
    <row r="48" spans="2:14" ht="10.5" customHeight="1">
      <c r="B48" s="292">
        <v>35</v>
      </c>
      <c r="C48" s="353" t="s">
        <v>786</v>
      </c>
      <c r="D48" s="315" t="s">
        <v>787</v>
      </c>
      <c r="E48" s="406">
        <f>Notubes/NoShell</f>
        <v>308</v>
      </c>
      <c r="F48" s="278" t="str">
        <f>CHOOSE(units,"OD, in","OD, mm")</f>
        <v>OD, in</v>
      </c>
      <c r="G48" s="276">
        <f>TubeOD</f>
        <v>0.75</v>
      </c>
      <c r="H48" s="278" t="s">
        <v>522</v>
      </c>
      <c r="I48" s="276">
        <f>TubeGauge</f>
        <v>14</v>
      </c>
      <c r="J48" s="278" t="str">
        <f>CHOOSE(units,"Length, ft.","Length, m")</f>
        <v>Length, ft.</v>
      </c>
      <c r="K48" s="409">
        <f>TubeLength</f>
        <v>14.999999999999998</v>
      </c>
      <c r="L48" s="354" t="s">
        <v>788</v>
      </c>
      <c r="M48" s="339"/>
      <c r="N48" s="355">
        <f>TubePitchLayout</f>
        <v>90</v>
      </c>
    </row>
    <row r="49" spans="2:14" ht="10.5" customHeight="1">
      <c r="B49" s="292">
        <v>36</v>
      </c>
      <c r="C49" s="293"/>
      <c r="D49" s="315" t="s">
        <v>155</v>
      </c>
      <c r="E49" s="296"/>
      <c r="F49" s="278"/>
      <c r="G49" s="278"/>
      <c r="H49" s="276"/>
      <c r="I49" s="278" t="s">
        <v>789</v>
      </c>
      <c r="J49" s="278" t="str">
        <f>TubeMat</f>
        <v>Cr-alloy (0.5% Cr)</v>
      </c>
      <c r="K49" s="410"/>
      <c r="L49" s="278" t="s">
        <v>790</v>
      </c>
      <c r="M49" s="295"/>
      <c r="N49" s="356">
        <f>TubePitchRatio</f>
        <v>1.33</v>
      </c>
    </row>
    <row r="50" spans="2:14" ht="10.5" customHeight="1">
      <c r="B50" s="292">
        <v>37</v>
      </c>
      <c r="C50" s="353" t="s">
        <v>791</v>
      </c>
      <c r="D50" s="295"/>
      <c r="E50" s="295"/>
      <c r="F50" s="278" t="str">
        <f>CHOOSE(units,"OD, in","OD, mm")</f>
        <v>OD, in</v>
      </c>
      <c r="G50" s="411"/>
      <c r="H50" s="278" t="str">
        <f>CHOOSE(units,"ID, in","ID, mm")</f>
        <v>ID, in</v>
      </c>
      <c r="I50" s="276">
        <f>Shell_ID</f>
        <v>21.25</v>
      </c>
      <c r="J50" s="278" t="s">
        <v>789</v>
      </c>
      <c r="K50" s="357"/>
      <c r="L50" s="278"/>
      <c r="M50" s="295"/>
      <c r="N50" s="299"/>
    </row>
    <row r="51" spans="2:14" ht="10.5" customHeight="1">
      <c r="B51" s="292">
        <v>38</v>
      </c>
      <c r="C51" s="293" t="s">
        <v>792</v>
      </c>
      <c r="D51" s="295"/>
      <c r="E51" s="295"/>
      <c r="F51" s="278" t="str">
        <f>CHOOSE(units,"OD, in","OD, mm")</f>
        <v>OD, in</v>
      </c>
      <c r="G51" s="412"/>
      <c r="H51" s="295" t="s">
        <v>793</v>
      </c>
      <c r="I51" s="408"/>
      <c r="J51" s="278" t="s">
        <v>794</v>
      </c>
      <c r="K51" s="295"/>
      <c r="L51" s="296"/>
      <c r="M51" s="295"/>
      <c r="N51" s="299"/>
    </row>
    <row r="52" spans="2:14" ht="10.5" customHeight="1">
      <c r="B52" s="292">
        <v>39</v>
      </c>
      <c r="C52" s="293" t="s">
        <v>795</v>
      </c>
      <c r="D52" s="295"/>
      <c r="E52" s="295"/>
      <c r="F52" s="296"/>
      <c r="G52" s="278"/>
      <c r="H52" s="295"/>
      <c r="I52" s="278"/>
      <c r="J52" s="278"/>
      <c r="K52" s="278"/>
      <c r="L52" s="296"/>
      <c r="M52" s="295"/>
      <c r="N52" s="299"/>
    </row>
    <row r="53" spans="2:14" ht="10.5" customHeight="1">
      <c r="B53" s="292">
        <v>40</v>
      </c>
      <c r="C53" s="293" t="s">
        <v>796</v>
      </c>
      <c r="D53" s="295"/>
      <c r="E53" s="295"/>
      <c r="F53" s="296"/>
      <c r="G53" s="295"/>
      <c r="H53" s="295"/>
      <c r="I53" s="407"/>
      <c r="J53" s="278" t="s">
        <v>797</v>
      </c>
      <c r="K53" s="295"/>
      <c r="L53" s="295"/>
      <c r="M53" s="296"/>
      <c r="N53" s="299"/>
    </row>
    <row r="54" spans="2:14" ht="10.5" customHeight="1">
      <c r="B54" s="359">
        <v>41</v>
      </c>
      <c r="C54" s="293" t="s">
        <v>798</v>
      </c>
      <c r="D54" s="295"/>
      <c r="E54" s="295"/>
      <c r="F54" s="296">
        <f>NumberBaffles</f>
        <v>16</v>
      </c>
      <c r="G54" s="406"/>
      <c r="H54" s="278" t="s">
        <v>799</v>
      </c>
      <c r="I54" s="278"/>
      <c r="J54" s="360">
        <f>BaffleCut</f>
        <v>0.25</v>
      </c>
      <c r="K54" s="406"/>
      <c r="L54" s="278" t="str">
        <f>"Spacing C/C, "&amp;INDEX(units_conv,2,units*2)</f>
        <v>Spacing C/C, in</v>
      </c>
      <c r="M54" s="311"/>
      <c r="N54" s="361">
        <f>'Shell htc'!D28</f>
        <v>10</v>
      </c>
    </row>
    <row r="55" spans="2:14" ht="10.5" customHeight="1">
      <c r="B55" s="359">
        <v>42</v>
      </c>
      <c r="C55" s="293" t="s">
        <v>800</v>
      </c>
      <c r="D55" s="295"/>
      <c r="E55" s="295"/>
      <c r="F55" s="358"/>
      <c r="G55" s="406"/>
      <c r="H55" s="278" t="s">
        <v>801</v>
      </c>
      <c r="I55" s="278"/>
      <c r="J55" s="358"/>
      <c r="K55" s="295"/>
      <c r="L55" s="295"/>
      <c r="M55" s="295"/>
      <c r="N55" s="299"/>
    </row>
    <row r="56" spans="2:14" ht="10.5" customHeight="1">
      <c r="B56" s="359">
        <v>43</v>
      </c>
      <c r="C56" s="293" t="s">
        <v>802</v>
      </c>
      <c r="D56" s="295"/>
      <c r="E56" s="295"/>
      <c r="F56" s="296"/>
      <c r="G56" s="406"/>
      <c r="H56" s="278" t="s">
        <v>803</v>
      </c>
      <c r="I56" s="278"/>
      <c r="J56" s="358"/>
      <c r="K56" s="406"/>
      <c r="L56" s="295" t="s">
        <v>155</v>
      </c>
      <c r="M56" s="295"/>
      <c r="N56" s="299"/>
    </row>
    <row r="57" spans="2:14" ht="10.5" customHeight="1">
      <c r="B57" s="359">
        <v>44</v>
      </c>
      <c r="C57" s="293" t="s">
        <v>804</v>
      </c>
      <c r="D57" s="295"/>
      <c r="E57" s="295"/>
      <c r="F57" s="295"/>
      <c r="G57" s="360" t="str">
        <f>IF(AND(Nss&gt;0,TubePasses&gt;1),"Sealing Strips",IF(TubePasses=1,"NA","None"))</f>
        <v>NA</v>
      </c>
      <c r="H57" s="360"/>
      <c r="I57" s="276"/>
      <c r="J57" s="278" t="s">
        <v>805</v>
      </c>
      <c r="K57" s="278"/>
      <c r="L57" s="296"/>
      <c r="M57" s="295"/>
      <c r="N57" s="299"/>
    </row>
    <row r="58" spans="2:14" ht="10.5" customHeight="1">
      <c r="B58" s="359">
        <v>45</v>
      </c>
      <c r="C58" s="293" t="s">
        <v>806</v>
      </c>
      <c r="D58" s="295"/>
      <c r="E58" s="295"/>
      <c r="F58" s="295"/>
      <c r="G58" s="296"/>
      <c r="H58" s="295"/>
      <c r="I58" s="407"/>
      <c r="J58" s="278" t="s">
        <v>155</v>
      </c>
      <c r="K58" s="295"/>
      <c r="L58" s="296"/>
      <c r="M58" s="295"/>
      <c r="N58" s="299"/>
    </row>
    <row r="59" spans="2:14" ht="10.5" customHeight="1">
      <c r="B59" s="359">
        <v>46</v>
      </c>
      <c r="C59" s="293" t="s">
        <v>807</v>
      </c>
      <c r="D59" s="295"/>
      <c r="E59" s="295"/>
      <c r="F59" s="402">
        <f>rhov2_TS</f>
        <v>986.8449009126786</v>
      </c>
      <c r="G59" s="406"/>
      <c r="H59" s="295" t="s">
        <v>808</v>
      </c>
      <c r="I59" s="311"/>
      <c r="J59" s="402">
        <f>rhov2_bundleIn</f>
        <v>278.7985756282188</v>
      </c>
      <c r="K59" s="406"/>
      <c r="L59" s="295" t="s">
        <v>809</v>
      </c>
      <c r="M59" s="402">
        <f>rhov2_bundleOut</f>
        <v>277.9000779544431</v>
      </c>
      <c r="N59" s="299"/>
    </row>
    <row r="60" spans="2:14" ht="10.5" customHeight="1">
      <c r="B60" s="359">
        <v>47</v>
      </c>
      <c r="C60" s="293" t="s">
        <v>820</v>
      </c>
      <c r="D60" s="295"/>
      <c r="E60" s="295"/>
      <c r="F60" s="296"/>
      <c r="G60" s="295"/>
      <c r="H60" s="295"/>
      <c r="I60" s="407"/>
      <c r="J60" s="357" t="s">
        <v>91</v>
      </c>
      <c r="K60" s="295"/>
      <c r="L60" s="295"/>
      <c r="M60" s="296"/>
      <c r="N60" s="299"/>
    </row>
    <row r="61" spans="2:14" ht="10.5" customHeight="1">
      <c r="B61" s="359">
        <v>48</v>
      </c>
      <c r="C61" s="293" t="s">
        <v>796</v>
      </c>
      <c r="D61" s="295"/>
      <c r="E61" s="295"/>
      <c r="F61" s="296"/>
      <c r="G61" s="295"/>
      <c r="H61" s="295"/>
      <c r="I61" s="407"/>
      <c r="J61" s="278" t="s">
        <v>810</v>
      </c>
      <c r="K61" s="295"/>
      <c r="L61" s="296"/>
      <c r="M61" s="295"/>
      <c r="N61" s="299"/>
    </row>
    <row r="62" spans="2:14" ht="10.5" customHeight="1">
      <c r="B62" s="359">
        <v>49</v>
      </c>
      <c r="C62" s="293" t="s">
        <v>811</v>
      </c>
      <c r="D62" s="295"/>
      <c r="E62" s="295"/>
      <c r="F62" s="296"/>
      <c r="G62" s="295"/>
      <c r="H62" s="295"/>
      <c r="I62" s="407"/>
      <c r="J62" s="278" t="s">
        <v>812</v>
      </c>
      <c r="K62" s="295"/>
      <c r="L62" s="296"/>
      <c r="M62" s="295"/>
      <c r="N62" s="299"/>
    </row>
    <row r="63" spans="2:14" ht="10.5" customHeight="1">
      <c r="B63" s="359">
        <v>50</v>
      </c>
      <c r="C63" s="300" t="s">
        <v>819</v>
      </c>
      <c r="D63" s="301"/>
      <c r="E63" s="362" t="str">
        <f>CHOOSE(units,"lb","kg")</f>
        <v>lb</v>
      </c>
      <c r="F63" s="403">
        <f>ROUND(WeightEmpty,-2)</f>
        <v>7000</v>
      </c>
      <c r="G63" s="406"/>
      <c r="H63" s="301" t="s">
        <v>813</v>
      </c>
      <c r="I63" s="302"/>
      <c r="J63" s="403">
        <f>ROUND(WeightFull,-2)</f>
        <v>9200</v>
      </c>
      <c r="K63" s="406"/>
      <c r="L63" s="362" t="s">
        <v>814</v>
      </c>
      <c r="M63" s="403">
        <f>ROUND(WeightBundle,-2)</f>
        <v>4200</v>
      </c>
      <c r="N63" s="299"/>
    </row>
    <row r="64" spans="2:14" ht="10.5" customHeight="1" thickBot="1">
      <c r="B64" s="359">
        <v>51</v>
      </c>
      <c r="C64" s="300"/>
      <c r="D64" s="301"/>
      <c r="E64" s="362"/>
      <c r="F64" s="301"/>
      <c r="G64" s="301"/>
      <c r="H64" s="362"/>
      <c r="I64" s="302"/>
      <c r="J64" s="363"/>
      <c r="K64" s="301"/>
      <c r="L64" s="362"/>
      <c r="M64" s="301"/>
      <c r="N64" s="364"/>
    </row>
    <row r="65" spans="2:14" ht="10.5" customHeight="1">
      <c r="B65" s="359">
        <v>52</v>
      </c>
      <c r="C65" s="365" t="s">
        <v>815</v>
      </c>
      <c r="D65" s="366"/>
      <c r="E65" s="341"/>
      <c r="F65" s="341"/>
      <c r="G65" s="341"/>
      <c r="H65" s="341"/>
      <c r="I65" s="367"/>
      <c r="J65" s="368"/>
      <c r="K65" s="341"/>
      <c r="L65" s="341"/>
      <c r="M65" s="341"/>
      <c r="N65" s="342"/>
    </row>
    <row r="66" spans="2:14" ht="10.5" customHeight="1">
      <c r="B66" s="359">
        <v>53</v>
      </c>
      <c r="C66" s="369"/>
      <c r="D66" s="370"/>
      <c r="E66" s="347"/>
      <c r="F66" s="347"/>
      <c r="G66" s="347"/>
      <c r="H66" s="347"/>
      <c r="I66" s="371"/>
      <c r="J66" s="372"/>
      <c r="K66" s="347"/>
      <c r="L66" s="347"/>
      <c r="M66" s="347"/>
      <c r="N66" s="348"/>
    </row>
    <row r="67" spans="2:14" ht="10.5" customHeight="1" thickBot="1">
      <c r="B67" s="373">
        <v>54</v>
      </c>
      <c r="C67" s="374"/>
      <c r="D67" s="375"/>
      <c r="E67" s="351"/>
      <c r="F67" s="351"/>
      <c r="G67" s="351"/>
      <c r="H67" s="351"/>
      <c r="I67" s="376"/>
      <c r="J67" s="377"/>
      <c r="K67" s="351"/>
      <c r="L67" s="351"/>
      <c r="M67" s="351"/>
      <c r="N67" s="352"/>
    </row>
  </sheetData>
  <sheetProtection/>
  <mergeCells count="1">
    <mergeCell ref="C45:D47"/>
  </mergeCells>
  <conditionalFormatting sqref="L19:M20 I19:J20 L26:M28 L30:M31 I26:J28 I30:J31 L33:M33 I33:J33 L35 I35 L36:M36 I36:J36 L22:M22 I22:J22 J49:K49 N48:N49 I48 G48 J54 N54 K48 G57:H57">
    <cfRule type="expression" priority="1" dxfId="0" stopIfTrue="1">
      <formula>IF(HighlightInputs=TRUE,TRUE,FALSE)</formula>
    </cfRule>
  </conditionalFormatting>
  <conditionalFormatting sqref="I37:J37 I34:J34 J35 M37:M38 J38 E48 I50 M35 L34:M34 G45:J46 F59 J59 M59">
    <cfRule type="expression" priority="2" dxfId="2" stopIfTrue="1">
      <formula>IF(HighlightResults=TRUE,TRUE,FALSE)</formula>
    </cfRule>
  </conditionalFormatting>
  <conditionalFormatting sqref="G41:J42 G58:H58 E49:G49 K50:M50 L51:M51 I51 G50:G51 G52:I52 G53:H53 L53:M53 F55:F56 J55:J56 H15 G44:J44 F60:G62 L60:M62 G47:J47 D15:E15 M56:M58">
    <cfRule type="expression" priority="3" dxfId="3" stopIfTrue="1">
      <formula>HighlightDetails</formula>
    </cfRule>
  </conditionalFormatting>
  <conditionalFormatting sqref="F54 F16 M16 F63 J63 M63">
    <cfRule type="expression" priority="4" dxfId="2" stopIfTrue="1">
      <formula>HighlightResults</formula>
    </cfRule>
  </conditionalFormatting>
  <conditionalFormatting sqref="I9:N9 I11:N11 I13:N13 C11:H13 D65:N67">
    <cfRule type="expression" priority="5" dxfId="1" stopIfTrue="1">
      <formula>HighlightGeneral</formula>
    </cfRule>
  </conditionalFormatting>
  <conditionalFormatting sqref="M15 J16 I29:J29 L29:M29 L32:M32 I32:J32">
    <cfRule type="expression" priority="6" dxfId="0" stopIfTrue="1">
      <formula>HighlightInputs</formula>
    </cfRule>
  </conditionalFormatting>
  <dataValidations count="4">
    <dataValidation type="list" allowBlank="1" showInputMessage="1" showErrorMessage="1" errorTitle="Tubesheet Type" error="Choose from list" sqref="G52">
      <formula1>tubesheet</formula1>
    </dataValidation>
    <dataValidation errorStyle="warning" operator="equal" showErrorMessage="1" errorTitle="Tube size" error="You have entered a non-standard tube size" sqref="G48"/>
    <dataValidation type="list" allowBlank="1" showInputMessage="1" showErrorMessage="1" sqref="E49">
      <formula1>tube_type</formula1>
    </dataValidation>
    <dataValidation type="whole" allowBlank="1" showInputMessage="1" showErrorMessage="1" sqref="I43">
      <formula1>1</formula1>
      <formula2>14</formula2>
    </dataValidation>
  </dataValidations>
  <printOptions horizontalCentered="1" verticalCentered="1"/>
  <pageMargins left="0.5" right="0.5" top="0.5" bottom="0.5" header="0.25" footer="0.25"/>
  <pageSetup fitToHeight="1" fitToWidth="1" horizontalDpi="600" verticalDpi="600" orientation="portrait" r:id="rId3"/>
  <drawing r:id="rId2"/>
  <legacyDrawing r:id="rId1"/>
</worksheet>
</file>

<file path=xl/worksheets/sheet14.xml><?xml version="1.0" encoding="utf-8"?>
<worksheet xmlns="http://schemas.openxmlformats.org/spreadsheetml/2006/main" xmlns:r="http://schemas.openxmlformats.org/officeDocument/2006/relationships">
  <sheetPr codeName="Sheet5"/>
  <dimension ref="A6:M185"/>
  <sheetViews>
    <sheetView zoomScalePageLayoutView="0" workbookViewId="0" topLeftCell="A1">
      <selection activeCell="A1" sqref="A1"/>
    </sheetView>
  </sheetViews>
  <sheetFormatPr defaultColWidth="9.140625" defaultRowHeight="12.75"/>
  <sheetData>
    <row r="6" spans="1:8" ht="12.75">
      <c r="A6" s="26" t="s">
        <v>474</v>
      </c>
      <c r="B6" s="26"/>
      <c r="C6" s="26"/>
      <c r="D6" s="26"/>
      <c r="E6" s="26"/>
      <c r="F6" s="26"/>
      <c r="G6" s="26"/>
      <c r="H6" s="26"/>
    </row>
    <row r="7" spans="1:8" ht="12.75">
      <c r="A7" s="26" t="s">
        <v>40</v>
      </c>
      <c r="B7" s="26"/>
      <c r="C7" s="26"/>
      <c r="D7" s="26"/>
      <c r="E7" s="26"/>
      <c r="F7" s="26"/>
      <c r="G7" s="26"/>
      <c r="H7" s="26"/>
    </row>
    <row r="8" spans="1:8" ht="12.75">
      <c r="A8" s="26" t="s">
        <v>41</v>
      </c>
      <c r="B8" s="26"/>
      <c r="C8" s="26"/>
      <c r="D8" s="26"/>
      <c r="E8" s="26"/>
      <c r="F8" s="26"/>
      <c r="G8" s="26"/>
      <c r="H8" s="26"/>
    </row>
    <row r="9" spans="1:8" ht="12.75">
      <c r="A9" s="26" t="s">
        <v>42</v>
      </c>
      <c r="B9" s="26"/>
      <c r="C9" s="26"/>
      <c r="D9" s="26"/>
      <c r="E9" s="26"/>
      <c r="F9" s="26"/>
      <c r="G9" s="26"/>
      <c r="H9" s="26"/>
    </row>
    <row r="10" spans="1:8" ht="12.75">
      <c r="A10" s="26"/>
      <c r="B10" s="26" t="s">
        <v>43</v>
      </c>
      <c r="C10" s="26"/>
      <c r="D10" s="26"/>
      <c r="E10" s="26"/>
      <c r="F10" s="26"/>
      <c r="G10" s="26"/>
      <c r="H10" s="26"/>
    </row>
    <row r="11" spans="1:8" ht="12.75">
      <c r="A11" s="26"/>
      <c r="B11" s="26"/>
      <c r="C11" s="26"/>
      <c r="D11" s="26"/>
      <c r="E11" s="26"/>
      <c r="F11" s="26"/>
      <c r="G11" s="26"/>
      <c r="H11" s="26"/>
    </row>
    <row r="12" spans="1:8" ht="12.75">
      <c r="A12" s="26"/>
      <c r="B12" s="27" t="s">
        <v>44</v>
      </c>
      <c r="C12" s="27"/>
      <c r="D12" s="27"/>
      <c r="E12" s="27"/>
      <c r="F12" s="26"/>
      <c r="G12" s="26"/>
      <c r="H12" s="26"/>
    </row>
    <row r="13" spans="1:8" ht="12.75">
      <c r="A13" s="28" t="s">
        <v>45</v>
      </c>
      <c r="B13" s="29" t="s">
        <v>46</v>
      </c>
      <c r="C13" s="29"/>
      <c r="D13" s="29" t="s">
        <v>47</v>
      </c>
      <c r="E13" s="29" t="s">
        <v>48</v>
      </c>
      <c r="F13" s="26"/>
      <c r="G13" s="26"/>
      <c r="H13" s="26"/>
    </row>
    <row r="14" spans="1:8" ht="12.75">
      <c r="A14" s="26">
        <v>1</v>
      </c>
      <c r="B14" s="30" t="s">
        <v>49</v>
      </c>
      <c r="C14" s="31" t="s">
        <v>50</v>
      </c>
      <c r="D14" s="31">
        <v>3.785412</v>
      </c>
      <c r="E14" s="32" t="s">
        <v>51</v>
      </c>
      <c r="F14" s="26"/>
      <c r="G14" s="26"/>
      <c r="H14" s="26"/>
    </row>
    <row r="15" spans="1:8" ht="12.75">
      <c r="A15" s="26">
        <v>2</v>
      </c>
      <c r="B15" s="33" t="s">
        <v>52</v>
      </c>
      <c r="C15" s="34" t="s">
        <v>818</v>
      </c>
      <c r="D15" s="34">
        <v>25.4</v>
      </c>
      <c r="E15" s="35" t="s">
        <v>662</v>
      </c>
      <c r="F15" s="26"/>
      <c r="G15" s="26" t="s">
        <v>55</v>
      </c>
      <c r="H15" s="26"/>
    </row>
    <row r="16" spans="1:8" ht="12.75">
      <c r="A16" s="26">
        <v>3</v>
      </c>
      <c r="B16" s="33" t="s">
        <v>56</v>
      </c>
      <c r="C16" s="34" t="s">
        <v>80</v>
      </c>
      <c r="D16" s="34">
        <v>0.09290304</v>
      </c>
      <c r="E16" s="35" t="s">
        <v>57</v>
      </c>
      <c r="F16" s="26"/>
      <c r="G16" s="26"/>
      <c r="H16" s="36" t="s">
        <v>58</v>
      </c>
    </row>
    <row r="17" spans="1:8" ht="12.75">
      <c r="A17" s="26">
        <v>4</v>
      </c>
      <c r="B17" s="33" t="s">
        <v>59</v>
      </c>
      <c r="C17" s="34" t="s">
        <v>500</v>
      </c>
      <c r="D17" s="34">
        <v>5.678263</v>
      </c>
      <c r="E17" s="35" t="s">
        <v>60</v>
      </c>
      <c r="F17" s="26"/>
      <c r="G17" s="26"/>
      <c r="H17" s="26" t="s">
        <v>61</v>
      </c>
    </row>
    <row r="18" spans="1:8" ht="12.75">
      <c r="A18" s="26">
        <v>5</v>
      </c>
      <c r="B18" s="33" t="s">
        <v>62</v>
      </c>
      <c r="C18" s="34" t="s">
        <v>501</v>
      </c>
      <c r="D18" s="34">
        <v>1.730735</v>
      </c>
      <c r="E18" s="35" t="s">
        <v>63</v>
      </c>
      <c r="F18" s="26"/>
      <c r="G18" s="26"/>
      <c r="H18" s="26"/>
    </row>
    <row r="19" spans="1:8" ht="12.75">
      <c r="A19" s="26">
        <v>6</v>
      </c>
      <c r="B19" s="33" t="s">
        <v>64</v>
      </c>
      <c r="C19" s="34" t="s">
        <v>65</v>
      </c>
      <c r="D19" s="34">
        <v>0.2931</v>
      </c>
      <c r="E19" s="35" t="s">
        <v>66</v>
      </c>
      <c r="F19" s="26"/>
      <c r="G19" s="26"/>
      <c r="H19" s="26" t="s">
        <v>67</v>
      </c>
    </row>
    <row r="20" spans="1:8" ht="12.75">
      <c r="A20" s="26">
        <v>7</v>
      </c>
      <c r="B20" s="33" t="s">
        <v>68</v>
      </c>
      <c r="C20" s="34" t="s">
        <v>9</v>
      </c>
      <c r="D20" s="34">
        <v>3.785412</v>
      </c>
      <c r="E20" s="35" t="s">
        <v>69</v>
      </c>
      <c r="F20" s="26"/>
      <c r="G20" s="26"/>
      <c r="H20" s="26" t="s">
        <v>70</v>
      </c>
    </row>
    <row r="21" spans="1:8" ht="12.75">
      <c r="A21" s="26">
        <v>8</v>
      </c>
      <c r="B21" s="33" t="s">
        <v>71</v>
      </c>
      <c r="C21" s="34" t="s">
        <v>502</v>
      </c>
      <c r="D21" s="34">
        <v>0.1761102</v>
      </c>
      <c r="E21" s="35" t="s">
        <v>72</v>
      </c>
      <c r="F21" s="26"/>
      <c r="G21" s="26"/>
      <c r="H21" s="26" t="s">
        <v>73</v>
      </c>
    </row>
    <row r="22" spans="1:8" ht="12.75">
      <c r="A22" s="26">
        <v>9</v>
      </c>
      <c r="B22" s="33" t="s">
        <v>74</v>
      </c>
      <c r="C22" s="34" t="s">
        <v>53</v>
      </c>
      <c r="D22" s="34"/>
      <c r="E22" s="35" t="s">
        <v>75</v>
      </c>
      <c r="F22" s="26"/>
      <c r="G22" s="26"/>
      <c r="H22" s="26" t="s">
        <v>76</v>
      </c>
    </row>
    <row r="23" spans="1:8" ht="12.75">
      <c r="A23" s="26">
        <v>10</v>
      </c>
      <c r="B23" s="33" t="s">
        <v>77</v>
      </c>
      <c r="C23" s="37" t="s">
        <v>38</v>
      </c>
      <c r="D23" s="34">
        <v>4.1868</v>
      </c>
      <c r="E23" s="35" t="s">
        <v>499</v>
      </c>
      <c r="F23" s="26"/>
      <c r="G23" s="26"/>
      <c r="H23" s="26"/>
    </row>
    <row r="24" spans="1:8" ht="12.75">
      <c r="A24" s="26">
        <v>11</v>
      </c>
      <c r="B24" s="33" t="s">
        <v>52</v>
      </c>
      <c r="C24" s="34" t="s">
        <v>78</v>
      </c>
      <c r="D24" s="34">
        <v>304.8</v>
      </c>
      <c r="E24" s="35" t="s">
        <v>54</v>
      </c>
      <c r="F24" s="26"/>
      <c r="G24" s="26"/>
      <c r="H24" s="26"/>
    </row>
    <row r="25" spans="1:8" ht="12.75">
      <c r="A25" s="26">
        <v>12</v>
      </c>
      <c r="B25" s="33" t="s">
        <v>79</v>
      </c>
      <c r="C25" s="34" t="s">
        <v>973</v>
      </c>
      <c r="D25" s="34">
        <v>0.3048</v>
      </c>
      <c r="E25" s="35" t="s">
        <v>974</v>
      </c>
      <c r="F25" s="26"/>
      <c r="G25" s="26">
        <f>1/0.3048</f>
        <v>3.280839895013123</v>
      </c>
      <c r="H25" s="26"/>
    </row>
    <row r="26" spans="1:8" ht="12.75">
      <c r="A26" s="26">
        <v>13</v>
      </c>
      <c r="B26" s="33" t="s">
        <v>56</v>
      </c>
      <c r="C26" s="34" t="s">
        <v>80</v>
      </c>
      <c r="D26" s="34">
        <v>0.09290304</v>
      </c>
      <c r="E26" s="35" t="s">
        <v>57</v>
      </c>
      <c r="F26" s="26"/>
      <c r="G26" s="26"/>
      <c r="H26" s="26"/>
    </row>
    <row r="27" spans="1:8" ht="12.75">
      <c r="A27" s="26">
        <v>14</v>
      </c>
      <c r="B27" s="33" t="s">
        <v>81</v>
      </c>
      <c r="C27" s="34" t="s">
        <v>12</v>
      </c>
      <c r="D27" s="34">
        <v>6.894757</v>
      </c>
      <c r="E27" s="35" t="s">
        <v>104</v>
      </c>
      <c r="F27" s="26"/>
      <c r="G27" s="26"/>
      <c r="H27" s="26"/>
    </row>
    <row r="28" spans="1:8" ht="12.75">
      <c r="A28" s="26">
        <v>15</v>
      </c>
      <c r="B28" s="33" t="s">
        <v>82</v>
      </c>
      <c r="C28" s="34" t="s">
        <v>503</v>
      </c>
      <c r="D28" s="34">
        <v>0.4535924</v>
      </c>
      <c r="E28" s="35" t="s">
        <v>504</v>
      </c>
      <c r="F28" s="26"/>
      <c r="G28" s="26"/>
      <c r="H28" s="26"/>
    </row>
    <row r="29" spans="1:8" ht="12.75">
      <c r="A29" s="26">
        <v>16</v>
      </c>
      <c r="B29" s="33" t="s">
        <v>83</v>
      </c>
      <c r="C29" s="34" t="s">
        <v>39</v>
      </c>
      <c r="D29" s="34">
        <v>2.326</v>
      </c>
      <c r="E29" s="35" t="s">
        <v>84</v>
      </c>
      <c r="F29" s="26"/>
      <c r="G29" s="26"/>
      <c r="H29" s="26"/>
    </row>
    <row r="30" spans="1:8" ht="12.75">
      <c r="A30" s="26">
        <v>17</v>
      </c>
      <c r="B30" s="33" t="s">
        <v>85</v>
      </c>
      <c r="C30" s="34" t="s">
        <v>24</v>
      </c>
      <c r="D30" s="34">
        <v>0.0004133789</v>
      </c>
      <c r="E30" s="35" t="s">
        <v>86</v>
      </c>
      <c r="F30" s="26"/>
      <c r="G30" s="26"/>
      <c r="H30" s="26"/>
    </row>
    <row r="31" spans="1:8" ht="12.75">
      <c r="A31" s="26">
        <v>18</v>
      </c>
      <c r="B31" s="38" t="s">
        <v>10</v>
      </c>
      <c r="C31" s="39" t="s">
        <v>87</v>
      </c>
      <c r="D31" s="39">
        <v>16.01846</v>
      </c>
      <c r="E31" s="40" t="s">
        <v>140</v>
      </c>
      <c r="F31" s="26"/>
      <c r="G31" s="26"/>
      <c r="H31" s="26"/>
    </row>
    <row r="32" spans="1:8" ht="12.75">
      <c r="A32" s="26" t="s">
        <v>7</v>
      </c>
      <c r="B32" s="26">
        <v>1</v>
      </c>
      <c r="C32" s="26">
        <v>2</v>
      </c>
      <c r="D32" s="26"/>
      <c r="E32" s="248" t="s">
        <v>822</v>
      </c>
      <c r="F32" s="26" t="b">
        <v>0</v>
      </c>
      <c r="G32" s="26"/>
      <c r="H32" s="26"/>
    </row>
    <row r="33" spans="1:6" ht="12.75">
      <c r="A33" s="185" t="s">
        <v>505</v>
      </c>
      <c r="B33">
        <v>6</v>
      </c>
      <c r="E33" s="249" t="s">
        <v>823</v>
      </c>
      <c r="F33" s="26" t="b">
        <v>0</v>
      </c>
    </row>
    <row r="34" spans="1:6" ht="12.75">
      <c r="A34" s="185" t="str">
        <f>SS_Name</f>
        <v>Distilled Water</v>
      </c>
      <c r="B34" s="185" t="str">
        <f>CHOOSE(Tubes,"Tubes","Shell")</f>
        <v>Shell</v>
      </c>
      <c r="C34" s="185">
        <f>IF(TS_Select=TS_Name,2,1)</f>
        <v>2</v>
      </c>
      <c r="D34" s="185"/>
      <c r="E34" s="249" t="s">
        <v>824</v>
      </c>
      <c r="F34" s="26" t="b">
        <v>0</v>
      </c>
    </row>
    <row r="35" spans="1:6" ht="13.5" customHeight="1">
      <c r="A35" s="185" t="str">
        <f>TS_Name</f>
        <v>Raw Water</v>
      </c>
      <c r="B35" s="185" t="str">
        <f>CHOOSE(Tubes,"Shell","Tubes")</f>
        <v>Tubes</v>
      </c>
      <c r="C35" s="185"/>
      <c r="D35" s="185"/>
      <c r="E35" s="249" t="s">
        <v>825</v>
      </c>
      <c r="F35" s="26" t="b">
        <v>0</v>
      </c>
    </row>
    <row r="36" spans="2:4" ht="12.75">
      <c r="B36" s="185"/>
      <c r="C36" s="185"/>
      <c r="D36" s="185"/>
    </row>
    <row r="37" spans="2:8" ht="12.75">
      <c r="B37" s="203" t="s">
        <v>515</v>
      </c>
      <c r="C37" s="204"/>
      <c r="D37" s="204"/>
      <c r="E37" s="16"/>
      <c r="F37" s="16"/>
      <c r="G37" s="205" t="s">
        <v>525</v>
      </c>
      <c r="H37" s="17"/>
    </row>
    <row r="38" spans="2:8" ht="12.75">
      <c r="B38" s="206" t="str">
        <f>CHOOSE(units,"in","mm")</f>
        <v>in</v>
      </c>
      <c r="C38" s="4" t="s">
        <v>513</v>
      </c>
      <c r="D38" s="4" t="s">
        <v>514</v>
      </c>
      <c r="E38" s="4" t="s">
        <v>513</v>
      </c>
      <c r="F38" s="10"/>
      <c r="G38" s="175" t="s">
        <v>526</v>
      </c>
      <c r="H38" s="209" t="s">
        <v>527</v>
      </c>
    </row>
    <row r="39" spans="2:8" ht="12.75">
      <c r="B39" s="12">
        <f aca="true" ca="1" t="shared" si="0" ref="B39:B47">OFFSET(B39,0,units)</f>
        <v>0.25</v>
      </c>
      <c r="C39" s="207">
        <v>0.25</v>
      </c>
      <c r="D39" s="186">
        <v>6.35</v>
      </c>
      <c r="E39" s="207">
        <v>0.25</v>
      </c>
      <c r="F39" s="10"/>
      <c r="G39" s="10">
        <v>18</v>
      </c>
      <c r="H39" s="13">
        <v>27</v>
      </c>
    </row>
    <row r="40" spans="2:8" ht="12.75">
      <c r="B40" s="12">
        <f ca="1" t="shared" si="0"/>
        <v>0.375</v>
      </c>
      <c r="C40" s="207">
        <v>0.375</v>
      </c>
      <c r="D40" s="186">
        <v>9.53</v>
      </c>
      <c r="E40" s="207">
        <v>0.375</v>
      </c>
      <c r="F40" s="10"/>
      <c r="G40" s="10">
        <v>14</v>
      </c>
      <c r="H40" s="13">
        <v>24</v>
      </c>
    </row>
    <row r="41" spans="2:8" ht="12.75">
      <c r="B41" s="12">
        <f ca="1" t="shared" si="0"/>
        <v>0.5</v>
      </c>
      <c r="C41" s="207">
        <v>0.5</v>
      </c>
      <c r="D41" s="186">
        <v>12.7</v>
      </c>
      <c r="E41" s="207">
        <v>0.5</v>
      </c>
      <c r="F41" s="10"/>
      <c r="G41" s="10">
        <v>13</v>
      </c>
      <c r="H41" s="13">
        <v>24</v>
      </c>
    </row>
    <row r="42" spans="2:8" ht="13.5" customHeight="1">
      <c r="B42" s="12">
        <f ca="1" t="shared" si="0"/>
        <v>0.625</v>
      </c>
      <c r="C42" s="207">
        <v>0.625</v>
      </c>
      <c r="D42" s="186">
        <v>15.88</v>
      </c>
      <c r="E42" s="207">
        <v>0.625</v>
      </c>
      <c r="F42" s="10"/>
      <c r="G42" s="10">
        <v>12</v>
      </c>
      <c r="H42" s="13">
        <v>24</v>
      </c>
    </row>
    <row r="43" spans="2:8" ht="12.75">
      <c r="B43" s="12">
        <f ca="1" t="shared" si="0"/>
        <v>0.75</v>
      </c>
      <c r="C43" s="207">
        <v>0.75</v>
      </c>
      <c r="D43" s="186">
        <v>19.05</v>
      </c>
      <c r="E43" s="207">
        <v>0.75</v>
      </c>
      <c r="F43" s="10"/>
      <c r="G43" s="10">
        <v>10</v>
      </c>
      <c r="H43" s="13">
        <v>24</v>
      </c>
    </row>
    <row r="44" spans="2:8" ht="12.75">
      <c r="B44" s="12">
        <f ca="1" t="shared" si="0"/>
        <v>1</v>
      </c>
      <c r="C44" s="207">
        <v>1</v>
      </c>
      <c r="D44" s="186">
        <v>25.4</v>
      </c>
      <c r="E44" s="207">
        <v>1</v>
      </c>
      <c r="F44" s="10"/>
      <c r="G44" s="10">
        <v>8</v>
      </c>
      <c r="H44" s="13">
        <v>24</v>
      </c>
    </row>
    <row r="45" spans="2:8" ht="12.75">
      <c r="B45" s="12">
        <f ca="1" t="shared" si="0"/>
        <v>1.25</v>
      </c>
      <c r="C45" s="207">
        <v>1.25</v>
      </c>
      <c r="D45" s="186">
        <v>31.75</v>
      </c>
      <c r="E45" s="207">
        <v>1.25</v>
      </c>
      <c r="F45" s="10"/>
      <c r="G45" s="10">
        <v>8</v>
      </c>
      <c r="H45" s="13">
        <v>24</v>
      </c>
    </row>
    <row r="46" spans="2:8" ht="12.75">
      <c r="B46" s="12">
        <f ca="1" t="shared" si="0"/>
        <v>1.5</v>
      </c>
      <c r="C46" s="207">
        <v>1.5</v>
      </c>
      <c r="D46" s="186">
        <v>38.1</v>
      </c>
      <c r="E46" s="207">
        <v>1.5</v>
      </c>
      <c r="F46" s="10"/>
      <c r="G46" s="10">
        <v>8</v>
      </c>
      <c r="H46" s="13">
        <v>24</v>
      </c>
    </row>
    <row r="47" spans="2:8" ht="12.75">
      <c r="B47" s="14">
        <f ca="1" t="shared" si="0"/>
        <v>2</v>
      </c>
      <c r="C47" s="208">
        <v>2</v>
      </c>
      <c r="D47" s="21">
        <v>50.8</v>
      </c>
      <c r="E47" s="208">
        <v>2</v>
      </c>
      <c r="F47" s="3"/>
      <c r="G47" s="3">
        <v>4</v>
      </c>
      <c r="H47" s="15">
        <v>24</v>
      </c>
    </row>
    <row r="49" spans="2:7" ht="12.75">
      <c r="B49" t="s">
        <v>44</v>
      </c>
      <c r="D49" t="s">
        <v>516</v>
      </c>
      <c r="E49">
        <f>VLOOKUP(TubeOD,C39:D47,2)</f>
        <v>19.05</v>
      </c>
      <c r="G49">
        <f>VLOOKUP(TubeOD,TubeData,6)</f>
        <v>10</v>
      </c>
    </row>
    <row r="50" spans="4:7" ht="12.75">
      <c r="D50" t="s">
        <v>517</v>
      </c>
      <c r="E50" t="e">
        <f>VLOOKUP(TubeOD,D39:E47,2)</f>
        <v>#N/A</v>
      </c>
      <c r="G50">
        <f>VLOOKUP(TubeOD,TubeData,7)</f>
        <v>24</v>
      </c>
    </row>
    <row r="53" spans="2:5" ht="12.75">
      <c r="B53" s="190"/>
      <c r="C53" s="191" t="s">
        <v>521</v>
      </c>
      <c r="D53" s="192"/>
      <c r="E53" s="193"/>
    </row>
    <row r="54" spans="2:7" ht="18">
      <c r="B54" s="194" t="s">
        <v>522</v>
      </c>
      <c r="C54" s="194" t="s">
        <v>520</v>
      </c>
      <c r="D54" s="194" t="s">
        <v>523</v>
      </c>
      <c r="E54" s="195" t="s">
        <v>524</v>
      </c>
      <c r="G54" s="189"/>
    </row>
    <row r="55" spans="2:7" ht="12.75" customHeight="1">
      <c r="B55" s="201">
        <v>4</v>
      </c>
      <c r="C55" s="197">
        <v>0.238</v>
      </c>
      <c r="D55" s="198">
        <v>0.232</v>
      </c>
      <c r="E55" s="198">
        <v>0.204</v>
      </c>
      <c r="G55" s="189"/>
    </row>
    <row r="56" spans="2:7" ht="12.75" customHeight="1">
      <c r="B56" s="201">
        <v>5</v>
      </c>
      <c r="C56" s="197">
        <v>0.22</v>
      </c>
      <c r="D56" s="198">
        <v>0.212</v>
      </c>
      <c r="E56" s="198">
        <v>0.182</v>
      </c>
      <c r="G56" s="189"/>
    </row>
    <row r="57" spans="2:7" ht="12.75" customHeight="1">
      <c r="B57" s="201">
        <v>6</v>
      </c>
      <c r="C57" s="197">
        <v>0.203</v>
      </c>
      <c r="D57" s="198">
        <v>0.192</v>
      </c>
      <c r="E57" s="198">
        <v>0.162</v>
      </c>
      <c r="G57" s="189"/>
    </row>
    <row r="58" spans="2:7" ht="12.75" customHeight="1">
      <c r="B58" s="201">
        <v>7</v>
      </c>
      <c r="C58" s="197">
        <v>0.18</v>
      </c>
      <c r="D58" s="198">
        <v>0.176</v>
      </c>
      <c r="E58" s="198">
        <v>0.144</v>
      </c>
      <c r="G58" s="189"/>
    </row>
    <row r="59" spans="2:5" ht="12.75" customHeight="1">
      <c r="B59" s="201">
        <v>8</v>
      </c>
      <c r="C59" s="197">
        <v>0.165</v>
      </c>
      <c r="D59" s="198">
        <v>0.16</v>
      </c>
      <c r="E59" s="198">
        <v>0.128</v>
      </c>
    </row>
    <row r="60" spans="2:5" ht="12.75">
      <c r="B60" s="201">
        <v>9</v>
      </c>
      <c r="C60" s="197">
        <v>0.148</v>
      </c>
      <c r="D60" s="198">
        <v>0.144</v>
      </c>
      <c r="E60" s="198">
        <v>0.114</v>
      </c>
    </row>
    <row r="61" spans="2:5" ht="12.75">
      <c r="B61" s="201">
        <v>10</v>
      </c>
      <c r="C61" s="197">
        <v>0.134</v>
      </c>
      <c r="D61" s="198">
        <v>0.128</v>
      </c>
      <c r="E61" s="198">
        <v>0.102</v>
      </c>
    </row>
    <row r="62" spans="2:5" ht="12.75">
      <c r="B62" s="201">
        <v>11</v>
      </c>
      <c r="C62" s="197">
        <v>0.12</v>
      </c>
      <c r="D62" s="198">
        <v>0.116</v>
      </c>
      <c r="E62" s="198">
        <v>0.091</v>
      </c>
    </row>
    <row r="63" spans="2:5" ht="12.75">
      <c r="B63" s="196">
        <v>12</v>
      </c>
      <c r="C63" s="197">
        <v>0.109</v>
      </c>
      <c r="D63" s="198">
        <v>0.104</v>
      </c>
      <c r="E63" s="198">
        <v>0.081</v>
      </c>
    </row>
    <row r="64" spans="2:5" ht="12.75">
      <c r="B64" s="196">
        <v>13</v>
      </c>
      <c r="C64" s="197">
        <v>0.095</v>
      </c>
      <c r="D64" s="198">
        <v>0.092</v>
      </c>
      <c r="E64" s="198">
        <v>0.072</v>
      </c>
    </row>
    <row r="65" spans="2:5" ht="12.75">
      <c r="B65" s="196">
        <v>14</v>
      </c>
      <c r="C65" s="197">
        <v>0.083</v>
      </c>
      <c r="D65" s="198">
        <v>0.08</v>
      </c>
      <c r="E65" s="198">
        <v>0.064</v>
      </c>
    </row>
    <row r="66" spans="2:5" ht="12.75">
      <c r="B66" s="196">
        <v>15</v>
      </c>
      <c r="C66" s="197">
        <v>0.072</v>
      </c>
      <c r="D66" s="198">
        <v>0.072</v>
      </c>
      <c r="E66" s="198">
        <v>0.057</v>
      </c>
    </row>
    <row r="67" spans="2:5" ht="12.75">
      <c r="B67" s="196">
        <v>16</v>
      </c>
      <c r="C67" s="197">
        <v>0.065</v>
      </c>
      <c r="D67" s="198">
        <v>0.064</v>
      </c>
      <c r="E67" s="198">
        <v>0.051</v>
      </c>
    </row>
    <row r="68" spans="2:5" ht="12.75">
      <c r="B68" s="201">
        <v>17</v>
      </c>
      <c r="C68" s="197">
        <v>0.058</v>
      </c>
      <c r="D68" s="198">
        <v>0.056</v>
      </c>
      <c r="E68" s="198">
        <v>0.045</v>
      </c>
    </row>
    <row r="69" spans="2:5" ht="12.75">
      <c r="B69" s="201">
        <v>18</v>
      </c>
      <c r="C69" s="197">
        <v>0.049</v>
      </c>
      <c r="D69" s="198">
        <v>0.048</v>
      </c>
      <c r="E69" s="198">
        <v>0.04</v>
      </c>
    </row>
    <row r="70" spans="2:5" ht="12.75">
      <c r="B70" s="201">
        <v>19</v>
      </c>
      <c r="C70" s="197">
        <v>0.042</v>
      </c>
      <c r="D70" s="198">
        <v>0.04</v>
      </c>
      <c r="E70" s="198">
        <v>0.036</v>
      </c>
    </row>
    <row r="71" spans="2:5" ht="12.75">
      <c r="B71" s="201">
        <v>20</v>
      </c>
      <c r="C71" s="197">
        <v>0.035</v>
      </c>
      <c r="D71" s="198">
        <v>0.036</v>
      </c>
      <c r="E71" s="198">
        <v>0.032</v>
      </c>
    </row>
    <row r="72" spans="2:5" ht="12.75">
      <c r="B72" s="201">
        <v>21</v>
      </c>
      <c r="C72" s="197">
        <v>0.032</v>
      </c>
      <c r="D72" s="198">
        <v>0.032</v>
      </c>
      <c r="E72" s="198">
        <v>0.029</v>
      </c>
    </row>
    <row r="73" spans="2:5" ht="12.75">
      <c r="B73" s="201">
        <v>22</v>
      </c>
      <c r="C73" s="197">
        <v>0.028</v>
      </c>
      <c r="D73" s="198">
        <v>0.028</v>
      </c>
      <c r="E73" s="198">
        <v>0.025</v>
      </c>
    </row>
    <row r="74" spans="2:5" ht="12.75">
      <c r="B74" s="201">
        <v>23</v>
      </c>
      <c r="C74" s="197">
        <v>0.025</v>
      </c>
      <c r="D74" s="198">
        <v>0.024</v>
      </c>
      <c r="E74" s="198">
        <v>0.023</v>
      </c>
    </row>
    <row r="75" spans="2:5" ht="12.75">
      <c r="B75" s="201">
        <v>24</v>
      </c>
      <c r="C75" s="197">
        <v>0.022</v>
      </c>
      <c r="D75" s="198">
        <v>0.022</v>
      </c>
      <c r="E75" s="198">
        <v>0.02</v>
      </c>
    </row>
    <row r="76" spans="2:5" ht="12.75">
      <c r="B76" s="201">
        <v>25</v>
      </c>
      <c r="C76" s="197">
        <v>0.02</v>
      </c>
      <c r="D76" s="198">
        <v>0.02</v>
      </c>
      <c r="E76" s="198">
        <v>0.018</v>
      </c>
    </row>
    <row r="77" spans="2:5" ht="12.75">
      <c r="B77" s="201">
        <v>26</v>
      </c>
      <c r="C77" s="197">
        <v>0.018</v>
      </c>
      <c r="D77" s="198">
        <v>0.018</v>
      </c>
      <c r="E77" s="198">
        <v>0.016</v>
      </c>
    </row>
    <row r="78" spans="2:5" ht="12.75">
      <c r="B78" s="202">
        <v>27</v>
      </c>
      <c r="C78" s="199">
        <v>0.016</v>
      </c>
      <c r="D78" s="200">
        <v>0.016</v>
      </c>
      <c r="E78" s="200">
        <v>0.014</v>
      </c>
    </row>
    <row r="83" spans="2:4" ht="12.75">
      <c r="B83" s="243" t="s">
        <v>620</v>
      </c>
      <c r="C83" s="243"/>
      <c r="D83" s="243"/>
    </row>
    <row r="84" spans="2:4" ht="12.75">
      <c r="B84" s="244" t="s">
        <v>617</v>
      </c>
      <c r="C84" s="244" t="s">
        <v>618</v>
      </c>
      <c r="D84" s="244" t="s">
        <v>619</v>
      </c>
    </row>
    <row r="85" spans="2:4" ht="12.75">
      <c r="B85" s="242">
        <v>30</v>
      </c>
      <c r="C85" s="242">
        <f>3^0.5/2</f>
        <v>0.8660254037844386</v>
      </c>
      <c r="D85" s="242">
        <v>1</v>
      </c>
    </row>
    <row r="86" spans="2:4" ht="12.75">
      <c r="B86" s="242">
        <v>45</v>
      </c>
      <c r="C86" s="242">
        <f>1/2^0.5</f>
        <v>0.7071067811865475</v>
      </c>
      <c r="D86" s="242">
        <f>2^0.5</f>
        <v>1.4142135623730951</v>
      </c>
    </row>
    <row r="87" spans="2:4" ht="12.75">
      <c r="B87" s="242">
        <v>60</v>
      </c>
      <c r="C87" s="242">
        <v>0.5</v>
      </c>
      <c r="D87" s="242">
        <f>3^0.5</f>
        <v>1.7320508075688772</v>
      </c>
    </row>
    <row r="88" spans="2:4" ht="12.75">
      <c r="B88" s="242">
        <v>90</v>
      </c>
      <c r="C88" s="242">
        <v>1</v>
      </c>
      <c r="D88" s="242">
        <v>1</v>
      </c>
    </row>
    <row r="93" spans="2:13" ht="12.75">
      <c r="B93" s="236" t="s">
        <v>661</v>
      </c>
      <c r="C93" s="236"/>
      <c r="D93" s="236"/>
      <c r="E93" s="236"/>
      <c r="F93" s="236"/>
      <c r="G93" s="236"/>
      <c r="H93" s="394" t="s">
        <v>926</v>
      </c>
      <c r="I93" s="394"/>
      <c r="J93" s="394"/>
      <c r="K93" s="397" t="s">
        <v>923</v>
      </c>
      <c r="L93" s="397"/>
      <c r="M93" s="397"/>
    </row>
    <row r="94" spans="2:13" ht="12.75">
      <c r="B94" s="236"/>
      <c r="C94" s="236"/>
      <c r="D94" s="393" t="s">
        <v>53</v>
      </c>
      <c r="E94" s="393" t="s">
        <v>53</v>
      </c>
      <c r="F94" s="393" t="s">
        <v>662</v>
      </c>
      <c r="G94" s="393" t="s">
        <v>662</v>
      </c>
      <c r="H94" s="395" t="str">
        <f>CHOOSE(units,"inches","mm")</f>
        <v>inches</v>
      </c>
      <c r="I94" s="395" t="s">
        <v>927</v>
      </c>
      <c r="J94" s="395" t="s">
        <v>928</v>
      </c>
      <c r="K94" s="396" t="str">
        <f>CHOOSE(units,"lb","kg")</f>
        <v>lb</v>
      </c>
      <c r="L94" s="396" t="s">
        <v>924</v>
      </c>
      <c r="M94" s="396" t="s">
        <v>925</v>
      </c>
    </row>
    <row r="95" spans="2:13" ht="12.75">
      <c r="B95" s="235">
        <f aca="true" t="shared" si="1" ref="B95:B124">CHOOSE(units,D95,F95)</f>
        <v>7.981</v>
      </c>
      <c r="C95" s="235">
        <f aca="true" t="shared" si="2" ref="C95:C124">CHOOSE(units,E95,G95)</f>
        <v>10.02</v>
      </c>
      <c r="D95">
        <v>7.981</v>
      </c>
      <c r="E95">
        <f>D96</f>
        <v>10.02</v>
      </c>
      <c r="F95">
        <f>ROUND(D95*25.4,0)</f>
        <v>203</v>
      </c>
      <c r="G95">
        <f>F96</f>
        <v>255</v>
      </c>
      <c r="H95">
        <f aca="true" t="shared" si="3" ref="H95:H124">CHOOSE(units,I95-B95,J95-B95)</f>
        <v>0.6440000000000001</v>
      </c>
      <c r="I95">
        <v>8.625</v>
      </c>
      <c r="J95">
        <f>I95*25.4</f>
        <v>219.075</v>
      </c>
      <c r="K95">
        <f aca="true" t="shared" si="4" ref="K95:K101">CHOOSE(units,L95,M95)</f>
        <v>28</v>
      </c>
      <c r="L95">
        <v>28</v>
      </c>
      <c r="M95">
        <f>ROUND(L95/2.2,0)</f>
        <v>13</v>
      </c>
    </row>
    <row r="96" spans="2:13" ht="12.75">
      <c r="B96" s="235">
        <f t="shared" si="1"/>
        <v>10.02</v>
      </c>
      <c r="C96" s="235">
        <f t="shared" si="2"/>
        <v>12</v>
      </c>
      <c r="D96">
        <v>10.02</v>
      </c>
      <c r="E96">
        <f aca="true" t="shared" si="5" ref="E96:G123">D97</f>
        <v>12</v>
      </c>
      <c r="F96">
        <f aca="true" t="shared" si="6" ref="F96:F124">ROUND(D96*25.4,0)</f>
        <v>255</v>
      </c>
      <c r="G96">
        <f t="shared" si="5"/>
        <v>305</v>
      </c>
      <c r="H96">
        <f t="shared" si="3"/>
        <v>0.7300000000000004</v>
      </c>
      <c r="I96">
        <v>10.75</v>
      </c>
      <c r="J96">
        <f aca="true" t="shared" si="7" ref="J96:J124">I96*25.4</f>
        <v>273.05</v>
      </c>
      <c r="K96">
        <f t="shared" si="4"/>
        <v>40</v>
      </c>
      <c r="L96">
        <v>40</v>
      </c>
      <c r="M96">
        <f aca="true" t="shared" si="8" ref="M96:M124">ROUND(L96/2.2,0)</f>
        <v>18</v>
      </c>
    </row>
    <row r="97" spans="2:13" ht="12.75">
      <c r="B97" s="235">
        <f t="shared" si="1"/>
        <v>12</v>
      </c>
      <c r="C97" s="235">
        <f t="shared" si="2"/>
        <v>13.25</v>
      </c>
      <c r="D97">
        <v>12</v>
      </c>
      <c r="E97">
        <f t="shared" si="5"/>
        <v>13.25</v>
      </c>
      <c r="F97">
        <f t="shared" si="6"/>
        <v>305</v>
      </c>
      <c r="G97">
        <f t="shared" si="5"/>
        <v>337</v>
      </c>
      <c r="H97">
        <f t="shared" si="3"/>
        <v>0.75</v>
      </c>
      <c r="I97">
        <v>12.75</v>
      </c>
      <c r="J97">
        <f t="shared" si="7"/>
        <v>323.84999999999997</v>
      </c>
      <c r="K97">
        <f t="shared" si="4"/>
        <v>61</v>
      </c>
      <c r="L97">
        <v>61</v>
      </c>
      <c r="M97">
        <f t="shared" si="8"/>
        <v>28</v>
      </c>
    </row>
    <row r="98" spans="2:13" ht="12.75">
      <c r="B98" s="235">
        <f t="shared" si="1"/>
        <v>13.25</v>
      </c>
      <c r="C98" s="235">
        <f t="shared" si="2"/>
        <v>15.25</v>
      </c>
      <c r="D98">
        <v>13.25</v>
      </c>
      <c r="E98">
        <f t="shared" si="5"/>
        <v>15.25</v>
      </c>
      <c r="F98">
        <f t="shared" si="6"/>
        <v>337</v>
      </c>
      <c r="G98">
        <f t="shared" si="5"/>
        <v>387</v>
      </c>
      <c r="H98">
        <f t="shared" si="3"/>
        <v>0.75</v>
      </c>
      <c r="I98">
        <v>14</v>
      </c>
      <c r="J98">
        <f t="shared" si="7"/>
        <v>355.59999999999997</v>
      </c>
      <c r="K98">
        <f t="shared" si="4"/>
        <v>83</v>
      </c>
      <c r="L98">
        <v>83</v>
      </c>
      <c r="M98">
        <f t="shared" si="8"/>
        <v>38</v>
      </c>
    </row>
    <row r="99" spans="2:13" ht="12.75">
      <c r="B99" s="235">
        <f t="shared" si="1"/>
        <v>15.25</v>
      </c>
      <c r="C99" s="235">
        <f t="shared" si="2"/>
        <v>17.25</v>
      </c>
      <c r="D99">
        <v>15.25</v>
      </c>
      <c r="E99">
        <f t="shared" si="5"/>
        <v>17.25</v>
      </c>
      <c r="F99">
        <f t="shared" si="6"/>
        <v>387</v>
      </c>
      <c r="G99">
        <f t="shared" si="5"/>
        <v>438</v>
      </c>
      <c r="H99">
        <f t="shared" si="3"/>
        <v>0.75</v>
      </c>
      <c r="I99">
        <v>16</v>
      </c>
      <c r="J99">
        <f t="shared" si="7"/>
        <v>406.4</v>
      </c>
      <c r="K99">
        <f t="shared" si="4"/>
        <v>106</v>
      </c>
      <c r="L99">
        <v>106</v>
      </c>
      <c r="M99">
        <f t="shared" si="8"/>
        <v>48</v>
      </c>
    </row>
    <row r="100" spans="2:13" ht="12.75">
      <c r="B100" s="235">
        <f t="shared" si="1"/>
        <v>17.25</v>
      </c>
      <c r="C100" s="235">
        <f t="shared" si="2"/>
        <v>19.25</v>
      </c>
      <c r="D100">
        <v>17.25</v>
      </c>
      <c r="E100">
        <f t="shared" si="5"/>
        <v>19.25</v>
      </c>
      <c r="F100">
        <f t="shared" si="6"/>
        <v>438</v>
      </c>
      <c r="G100">
        <f t="shared" si="5"/>
        <v>489</v>
      </c>
      <c r="H100">
        <f t="shared" si="3"/>
        <v>0.75</v>
      </c>
      <c r="I100">
        <v>18</v>
      </c>
      <c r="J100">
        <f t="shared" si="7"/>
        <v>457.2</v>
      </c>
      <c r="K100">
        <f t="shared" si="4"/>
        <v>108</v>
      </c>
      <c r="L100">
        <v>108</v>
      </c>
      <c r="M100">
        <f t="shared" si="8"/>
        <v>49</v>
      </c>
    </row>
    <row r="101" spans="2:13" ht="12.75">
      <c r="B101" s="235">
        <f t="shared" si="1"/>
        <v>19.25</v>
      </c>
      <c r="C101" s="235">
        <f t="shared" si="2"/>
        <v>21.25</v>
      </c>
      <c r="D101">
        <v>19.25</v>
      </c>
      <c r="E101">
        <f t="shared" si="5"/>
        <v>21.25</v>
      </c>
      <c r="F101">
        <f t="shared" si="6"/>
        <v>489</v>
      </c>
      <c r="G101">
        <f t="shared" si="5"/>
        <v>540</v>
      </c>
      <c r="H101">
        <f t="shared" si="3"/>
        <v>0.75</v>
      </c>
      <c r="I101">
        <v>20</v>
      </c>
      <c r="J101">
        <f t="shared" si="7"/>
        <v>508</v>
      </c>
      <c r="K101">
        <f t="shared" si="4"/>
        <v>148</v>
      </c>
      <c r="L101">
        <v>148</v>
      </c>
      <c r="M101">
        <f t="shared" si="8"/>
        <v>67</v>
      </c>
    </row>
    <row r="102" spans="2:13" ht="12.75">
      <c r="B102" s="235">
        <f t="shared" si="1"/>
        <v>21.25</v>
      </c>
      <c r="C102" s="235">
        <f t="shared" si="2"/>
        <v>23.25</v>
      </c>
      <c r="D102">
        <v>21.25</v>
      </c>
      <c r="E102">
        <f t="shared" si="5"/>
        <v>23.25</v>
      </c>
      <c r="F102">
        <f t="shared" si="6"/>
        <v>540</v>
      </c>
      <c r="G102">
        <f t="shared" si="5"/>
        <v>591</v>
      </c>
      <c r="H102">
        <f t="shared" si="3"/>
        <v>0.75</v>
      </c>
      <c r="I102">
        <v>22</v>
      </c>
      <c r="J102">
        <f t="shared" si="7"/>
        <v>558.8</v>
      </c>
      <c r="K102">
        <v>180</v>
      </c>
      <c r="L102">
        <v>204</v>
      </c>
      <c r="M102">
        <f t="shared" si="8"/>
        <v>93</v>
      </c>
    </row>
    <row r="103" spans="2:13" ht="12.75">
      <c r="B103" s="235">
        <f t="shared" si="1"/>
        <v>23.25</v>
      </c>
      <c r="C103" s="235">
        <f t="shared" si="2"/>
        <v>25</v>
      </c>
      <c r="D103">
        <v>23.25</v>
      </c>
      <c r="E103">
        <f t="shared" si="5"/>
        <v>25</v>
      </c>
      <c r="F103">
        <f t="shared" si="6"/>
        <v>591</v>
      </c>
      <c r="G103">
        <f t="shared" si="5"/>
        <v>635</v>
      </c>
      <c r="H103">
        <f t="shared" si="3"/>
        <v>0.75</v>
      </c>
      <c r="I103">
        <v>24</v>
      </c>
      <c r="J103">
        <f t="shared" si="7"/>
        <v>609.5999999999999</v>
      </c>
      <c r="K103">
        <f aca="true" t="shared" si="9" ref="K103:K124">CHOOSE(units,L103,M103)</f>
        <v>204</v>
      </c>
      <c r="L103">
        <v>204</v>
      </c>
      <c r="M103">
        <f t="shared" si="8"/>
        <v>93</v>
      </c>
    </row>
    <row r="104" spans="2:13" ht="12.75">
      <c r="B104" s="235">
        <f t="shared" si="1"/>
        <v>25</v>
      </c>
      <c r="C104" s="235">
        <f t="shared" si="2"/>
        <v>27</v>
      </c>
      <c r="D104">
        <v>25</v>
      </c>
      <c r="E104">
        <f t="shared" si="5"/>
        <v>27</v>
      </c>
      <c r="F104">
        <f t="shared" si="6"/>
        <v>635</v>
      </c>
      <c r="G104">
        <f t="shared" si="5"/>
        <v>686</v>
      </c>
      <c r="H104">
        <f t="shared" si="3"/>
        <v>1</v>
      </c>
      <c r="I104">
        <v>26</v>
      </c>
      <c r="J104">
        <f t="shared" si="7"/>
        <v>660.4</v>
      </c>
      <c r="K104">
        <f t="shared" si="9"/>
        <v>210</v>
      </c>
      <c r="L104">
        <v>210</v>
      </c>
      <c r="M104">
        <f t="shared" si="8"/>
        <v>95</v>
      </c>
    </row>
    <row r="105" spans="2:13" ht="12.75">
      <c r="B105" s="235">
        <f t="shared" si="1"/>
        <v>27</v>
      </c>
      <c r="C105" s="235">
        <f t="shared" si="2"/>
        <v>29</v>
      </c>
      <c r="D105">
        <v>27</v>
      </c>
      <c r="E105">
        <f t="shared" si="5"/>
        <v>29</v>
      </c>
      <c r="F105">
        <f t="shared" si="6"/>
        <v>686</v>
      </c>
      <c r="G105">
        <f t="shared" si="5"/>
        <v>737</v>
      </c>
      <c r="H105">
        <f t="shared" si="3"/>
        <v>1</v>
      </c>
      <c r="I105">
        <v>28</v>
      </c>
      <c r="J105">
        <f t="shared" si="7"/>
        <v>711.1999999999999</v>
      </c>
      <c r="K105">
        <f t="shared" si="9"/>
        <v>230</v>
      </c>
      <c r="L105">
        <v>230</v>
      </c>
      <c r="M105">
        <f t="shared" si="8"/>
        <v>105</v>
      </c>
    </row>
    <row r="106" spans="2:13" ht="12.75">
      <c r="B106" s="235">
        <f t="shared" si="1"/>
        <v>29</v>
      </c>
      <c r="C106" s="235">
        <f t="shared" si="2"/>
        <v>31</v>
      </c>
      <c r="D106">
        <v>29</v>
      </c>
      <c r="E106">
        <f t="shared" si="5"/>
        <v>31</v>
      </c>
      <c r="F106">
        <f t="shared" si="6"/>
        <v>737</v>
      </c>
      <c r="G106">
        <f t="shared" si="5"/>
        <v>787</v>
      </c>
      <c r="H106">
        <f t="shared" si="3"/>
        <v>1</v>
      </c>
      <c r="I106">
        <v>30</v>
      </c>
      <c r="J106">
        <f t="shared" si="7"/>
        <v>762</v>
      </c>
      <c r="K106">
        <f t="shared" si="9"/>
        <v>240</v>
      </c>
      <c r="L106">
        <v>240</v>
      </c>
      <c r="M106">
        <f t="shared" si="8"/>
        <v>109</v>
      </c>
    </row>
    <row r="107" spans="2:13" ht="12.75">
      <c r="B107" s="235">
        <f t="shared" si="1"/>
        <v>31</v>
      </c>
      <c r="C107" s="235">
        <f t="shared" si="2"/>
        <v>33</v>
      </c>
      <c r="D107">
        <v>31</v>
      </c>
      <c r="E107">
        <f t="shared" si="5"/>
        <v>33</v>
      </c>
      <c r="F107">
        <f t="shared" si="6"/>
        <v>787</v>
      </c>
      <c r="G107">
        <f t="shared" si="5"/>
        <v>838</v>
      </c>
      <c r="H107">
        <f t="shared" si="3"/>
        <v>1</v>
      </c>
      <c r="I107">
        <v>32</v>
      </c>
      <c r="J107">
        <f t="shared" si="7"/>
        <v>812.8</v>
      </c>
      <c r="K107">
        <f t="shared" si="9"/>
        <v>260</v>
      </c>
      <c r="L107">
        <v>260</v>
      </c>
      <c r="M107">
        <f t="shared" si="8"/>
        <v>118</v>
      </c>
    </row>
    <row r="108" spans="2:13" ht="12.75">
      <c r="B108" s="235">
        <f t="shared" si="1"/>
        <v>33</v>
      </c>
      <c r="C108" s="235">
        <f t="shared" si="2"/>
        <v>35</v>
      </c>
      <c r="D108">
        <v>33</v>
      </c>
      <c r="E108">
        <f t="shared" si="5"/>
        <v>35</v>
      </c>
      <c r="F108">
        <f t="shared" si="6"/>
        <v>838</v>
      </c>
      <c r="G108">
        <f t="shared" si="5"/>
        <v>889</v>
      </c>
      <c r="H108">
        <f t="shared" si="3"/>
        <v>1</v>
      </c>
      <c r="I108">
        <v>34</v>
      </c>
      <c r="J108">
        <f t="shared" si="7"/>
        <v>863.5999999999999</v>
      </c>
      <c r="K108">
        <f t="shared" si="9"/>
        <v>270</v>
      </c>
      <c r="L108">
        <v>270</v>
      </c>
      <c r="M108">
        <f t="shared" si="8"/>
        <v>123</v>
      </c>
    </row>
    <row r="109" spans="2:13" ht="12.75">
      <c r="B109" s="235">
        <f t="shared" si="1"/>
        <v>35</v>
      </c>
      <c r="C109" s="235">
        <f t="shared" si="2"/>
        <v>37</v>
      </c>
      <c r="D109">
        <v>35</v>
      </c>
      <c r="E109">
        <f t="shared" si="5"/>
        <v>37</v>
      </c>
      <c r="F109">
        <f t="shared" si="6"/>
        <v>889</v>
      </c>
      <c r="G109">
        <f t="shared" si="5"/>
        <v>940</v>
      </c>
      <c r="H109">
        <f t="shared" si="3"/>
        <v>1</v>
      </c>
      <c r="I109">
        <v>36</v>
      </c>
      <c r="J109">
        <f t="shared" si="7"/>
        <v>914.4</v>
      </c>
      <c r="K109">
        <f t="shared" si="9"/>
        <v>185</v>
      </c>
      <c r="L109">
        <v>185</v>
      </c>
      <c r="M109">
        <f t="shared" si="8"/>
        <v>84</v>
      </c>
    </row>
    <row r="110" spans="2:13" ht="12.75">
      <c r="B110" s="235">
        <f t="shared" si="1"/>
        <v>37</v>
      </c>
      <c r="C110" s="235">
        <f t="shared" si="2"/>
        <v>39</v>
      </c>
      <c r="D110">
        <v>37</v>
      </c>
      <c r="E110">
        <f t="shared" si="5"/>
        <v>39</v>
      </c>
      <c r="F110">
        <f t="shared" si="6"/>
        <v>940</v>
      </c>
      <c r="G110">
        <f t="shared" si="5"/>
        <v>991</v>
      </c>
      <c r="H110">
        <f t="shared" si="3"/>
        <v>1</v>
      </c>
      <c r="I110">
        <v>38</v>
      </c>
      <c r="J110">
        <f t="shared" si="7"/>
        <v>965.1999999999999</v>
      </c>
      <c r="K110">
        <f t="shared" si="9"/>
        <v>300</v>
      </c>
      <c r="L110">
        <v>300</v>
      </c>
      <c r="M110">
        <f t="shared" si="8"/>
        <v>136</v>
      </c>
    </row>
    <row r="111" spans="2:13" ht="12.75">
      <c r="B111" s="235">
        <f t="shared" si="1"/>
        <v>39</v>
      </c>
      <c r="C111" s="235">
        <f t="shared" si="2"/>
        <v>42</v>
      </c>
      <c r="D111">
        <v>39</v>
      </c>
      <c r="E111">
        <f t="shared" si="5"/>
        <v>42</v>
      </c>
      <c r="F111">
        <f t="shared" si="6"/>
        <v>991</v>
      </c>
      <c r="G111">
        <f t="shared" si="5"/>
        <v>1067</v>
      </c>
      <c r="H111">
        <f t="shared" si="3"/>
        <v>1</v>
      </c>
      <c r="I111">
        <v>40</v>
      </c>
      <c r="J111">
        <f t="shared" si="7"/>
        <v>1016</v>
      </c>
      <c r="K111">
        <f t="shared" si="9"/>
        <v>310</v>
      </c>
      <c r="L111">
        <v>310</v>
      </c>
      <c r="M111">
        <f t="shared" si="8"/>
        <v>141</v>
      </c>
    </row>
    <row r="112" spans="2:13" ht="12.75">
      <c r="B112" s="235">
        <f t="shared" si="1"/>
        <v>42</v>
      </c>
      <c r="C112" s="235">
        <f t="shared" si="2"/>
        <v>45</v>
      </c>
      <c r="D112">
        <v>42</v>
      </c>
      <c r="E112">
        <f t="shared" si="5"/>
        <v>45</v>
      </c>
      <c r="F112">
        <f t="shared" si="6"/>
        <v>1067</v>
      </c>
      <c r="G112">
        <f t="shared" si="5"/>
        <v>1143</v>
      </c>
      <c r="H112">
        <f t="shared" si="3"/>
        <v>1</v>
      </c>
      <c r="I112">
        <v>43</v>
      </c>
      <c r="J112">
        <f t="shared" si="7"/>
        <v>1092.2</v>
      </c>
      <c r="K112">
        <f t="shared" si="9"/>
        <v>330</v>
      </c>
      <c r="L112">
        <v>330</v>
      </c>
      <c r="M112">
        <f t="shared" si="8"/>
        <v>150</v>
      </c>
    </row>
    <row r="113" spans="2:13" ht="12.75">
      <c r="B113" s="235">
        <f t="shared" si="1"/>
        <v>45</v>
      </c>
      <c r="C113" s="235">
        <f t="shared" si="2"/>
        <v>48</v>
      </c>
      <c r="D113">
        <v>45</v>
      </c>
      <c r="E113">
        <f t="shared" si="5"/>
        <v>48</v>
      </c>
      <c r="F113">
        <f t="shared" si="6"/>
        <v>1143</v>
      </c>
      <c r="G113">
        <f t="shared" si="5"/>
        <v>1219</v>
      </c>
      <c r="H113">
        <f t="shared" si="3"/>
        <v>1</v>
      </c>
      <c r="I113">
        <v>46</v>
      </c>
      <c r="J113">
        <f t="shared" si="7"/>
        <v>1168.3999999999999</v>
      </c>
      <c r="K113">
        <f t="shared" si="9"/>
        <v>360</v>
      </c>
      <c r="L113">
        <v>360</v>
      </c>
      <c r="M113">
        <f t="shared" si="8"/>
        <v>164</v>
      </c>
    </row>
    <row r="114" spans="2:13" ht="12.75">
      <c r="B114" s="235">
        <f t="shared" si="1"/>
        <v>48</v>
      </c>
      <c r="C114" s="235">
        <f t="shared" si="2"/>
        <v>54</v>
      </c>
      <c r="D114">
        <v>48</v>
      </c>
      <c r="E114">
        <f t="shared" si="5"/>
        <v>54</v>
      </c>
      <c r="F114">
        <f t="shared" si="6"/>
        <v>1219</v>
      </c>
      <c r="G114">
        <f t="shared" si="5"/>
        <v>1372</v>
      </c>
      <c r="H114">
        <f t="shared" si="3"/>
        <v>1</v>
      </c>
      <c r="I114">
        <v>49</v>
      </c>
      <c r="J114">
        <f t="shared" si="7"/>
        <v>1244.6</v>
      </c>
      <c r="K114">
        <f t="shared" si="9"/>
        <v>380</v>
      </c>
      <c r="L114">
        <v>380</v>
      </c>
      <c r="M114">
        <f t="shared" si="8"/>
        <v>173</v>
      </c>
    </row>
    <row r="115" spans="2:13" ht="12.75">
      <c r="B115" s="235">
        <f t="shared" si="1"/>
        <v>54</v>
      </c>
      <c r="C115" s="235">
        <f t="shared" si="2"/>
        <v>60</v>
      </c>
      <c r="D115">
        <v>54</v>
      </c>
      <c r="E115">
        <f t="shared" si="5"/>
        <v>60</v>
      </c>
      <c r="F115">
        <f t="shared" si="6"/>
        <v>1372</v>
      </c>
      <c r="G115">
        <f t="shared" si="5"/>
        <v>1524</v>
      </c>
      <c r="H115">
        <f t="shared" si="3"/>
        <v>1</v>
      </c>
      <c r="I115">
        <v>55</v>
      </c>
      <c r="J115">
        <f t="shared" si="7"/>
        <v>1397</v>
      </c>
      <c r="K115">
        <f t="shared" si="9"/>
        <v>420</v>
      </c>
      <c r="L115">
        <v>420</v>
      </c>
      <c r="M115">
        <f t="shared" si="8"/>
        <v>191</v>
      </c>
    </row>
    <row r="116" spans="2:13" ht="12.75">
      <c r="B116" s="235">
        <f t="shared" si="1"/>
        <v>60</v>
      </c>
      <c r="C116" s="235">
        <f t="shared" si="2"/>
        <v>66</v>
      </c>
      <c r="D116">
        <v>60</v>
      </c>
      <c r="E116">
        <f t="shared" si="5"/>
        <v>66</v>
      </c>
      <c r="F116">
        <f t="shared" si="6"/>
        <v>1524</v>
      </c>
      <c r="G116">
        <f t="shared" si="5"/>
        <v>1676</v>
      </c>
      <c r="H116">
        <f t="shared" si="3"/>
        <v>1</v>
      </c>
      <c r="I116">
        <v>61</v>
      </c>
      <c r="J116">
        <f t="shared" si="7"/>
        <v>1549.3999999999999</v>
      </c>
      <c r="K116">
        <f t="shared" si="9"/>
        <v>460</v>
      </c>
      <c r="L116">
        <v>460</v>
      </c>
      <c r="M116">
        <f t="shared" si="8"/>
        <v>209</v>
      </c>
    </row>
    <row r="117" spans="2:13" ht="12.75">
      <c r="B117" s="235">
        <f t="shared" si="1"/>
        <v>66</v>
      </c>
      <c r="C117" s="235">
        <f t="shared" si="2"/>
        <v>72</v>
      </c>
      <c r="D117">
        <v>66</v>
      </c>
      <c r="E117">
        <f t="shared" si="5"/>
        <v>72</v>
      </c>
      <c r="F117">
        <f t="shared" si="6"/>
        <v>1676</v>
      </c>
      <c r="G117">
        <f t="shared" si="5"/>
        <v>1829</v>
      </c>
      <c r="H117">
        <f t="shared" si="3"/>
        <v>1</v>
      </c>
      <c r="I117">
        <v>67</v>
      </c>
      <c r="J117">
        <f t="shared" si="7"/>
        <v>1701.8</v>
      </c>
      <c r="K117">
        <f t="shared" si="9"/>
        <v>505</v>
      </c>
      <c r="L117">
        <v>505</v>
      </c>
      <c r="M117">
        <f t="shared" si="8"/>
        <v>230</v>
      </c>
    </row>
    <row r="118" spans="2:13" ht="12.75">
      <c r="B118" s="235">
        <f t="shared" si="1"/>
        <v>72</v>
      </c>
      <c r="C118" s="235">
        <f t="shared" si="2"/>
        <v>78</v>
      </c>
      <c r="D118">
        <v>72</v>
      </c>
      <c r="E118">
        <f t="shared" si="5"/>
        <v>78</v>
      </c>
      <c r="F118">
        <f t="shared" si="6"/>
        <v>1829</v>
      </c>
      <c r="G118">
        <f t="shared" si="5"/>
        <v>1981</v>
      </c>
      <c r="H118">
        <f t="shared" si="3"/>
        <v>1</v>
      </c>
      <c r="I118">
        <v>73</v>
      </c>
      <c r="J118">
        <f t="shared" si="7"/>
        <v>1854.1999999999998</v>
      </c>
      <c r="K118">
        <f t="shared" si="9"/>
        <v>550</v>
      </c>
      <c r="L118">
        <v>550</v>
      </c>
      <c r="M118">
        <f t="shared" si="8"/>
        <v>250</v>
      </c>
    </row>
    <row r="119" spans="2:13" ht="12.75">
      <c r="B119" s="235">
        <f t="shared" si="1"/>
        <v>78</v>
      </c>
      <c r="C119" s="235">
        <f t="shared" si="2"/>
        <v>84</v>
      </c>
      <c r="D119">
        <v>78</v>
      </c>
      <c r="E119">
        <f t="shared" si="5"/>
        <v>84</v>
      </c>
      <c r="F119">
        <f t="shared" si="6"/>
        <v>1981</v>
      </c>
      <c r="G119">
        <f t="shared" si="5"/>
        <v>2134</v>
      </c>
      <c r="H119">
        <f t="shared" si="3"/>
        <v>1</v>
      </c>
      <c r="I119">
        <v>79</v>
      </c>
      <c r="J119">
        <f t="shared" si="7"/>
        <v>2006.6</v>
      </c>
      <c r="K119">
        <f t="shared" si="9"/>
        <v>590</v>
      </c>
      <c r="L119">
        <v>590</v>
      </c>
      <c r="M119">
        <f t="shared" si="8"/>
        <v>268</v>
      </c>
    </row>
    <row r="120" spans="2:13" ht="12.75">
      <c r="B120" s="235">
        <f t="shared" si="1"/>
        <v>84</v>
      </c>
      <c r="C120" s="235">
        <f t="shared" si="2"/>
        <v>90</v>
      </c>
      <c r="D120">
        <v>84</v>
      </c>
      <c r="E120">
        <f t="shared" si="5"/>
        <v>90</v>
      </c>
      <c r="F120">
        <f t="shared" si="6"/>
        <v>2134</v>
      </c>
      <c r="G120">
        <f t="shared" si="5"/>
        <v>2286</v>
      </c>
      <c r="H120">
        <f t="shared" si="3"/>
        <v>1</v>
      </c>
      <c r="I120">
        <v>85</v>
      </c>
      <c r="J120">
        <f t="shared" si="7"/>
        <v>2159</v>
      </c>
      <c r="K120">
        <f t="shared" si="9"/>
        <v>630</v>
      </c>
      <c r="L120">
        <v>630</v>
      </c>
      <c r="M120">
        <f t="shared" si="8"/>
        <v>286</v>
      </c>
    </row>
    <row r="121" spans="2:13" ht="12.75">
      <c r="B121" s="235">
        <f t="shared" si="1"/>
        <v>90</v>
      </c>
      <c r="C121" s="235">
        <f t="shared" si="2"/>
        <v>96</v>
      </c>
      <c r="D121">
        <v>90</v>
      </c>
      <c r="E121">
        <f t="shared" si="5"/>
        <v>96</v>
      </c>
      <c r="F121">
        <f t="shared" si="6"/>
        <v>2286</v>
      </c>
      <c r="G121">
        <f t="shared" si="5"/>
        <v>2438</v>
      </c>
      <c r="H121">
        <f t="shared" si="3"/>
        <v>1</v>
      </c>
      <c r="I121">
        <v>91</v>
      </c>
      <c r="J121">
        <f t="shared" si="7"/>
        <v>2311.4</v>
      </c>
      <c r="K121">
        <f t="shared" si="9"/>
        <v>675</v>
      </c>
      <c r="L121">
        <v>675</v>
      </c>
      <c r="M121">
        <f t="shared" si="8"/>
        <v>307</v>
      </c>
    </row>
    <row r="122" spans="2:13" ht="12.75">
      <c r="B122" s="235">
        <f t="shared" si="1"/>
        <v>96</v>
      </c>
      <c r="C122" s="235">
        <f t="shared" si="2"/>
        <v>108</v>
      </c>
      <c r="D122">
        <v>96</v>
      </c>
      <c r="E122">
        <f t="shared" si="5"/>
        <v>108</v>
      </c>
      <c r="F122">
        <f t="shared" si="6"/>
        <v>2438</v>
      </c>
      <c r="G122">
        <f t="shared" si="5"/>
        <v>2743</v>
      </c>
      <c r="H122">
        <f t="shared" si="3"/>
        <v>1</v>
      </c>
      <c r="I122">
        <v>97</v>
      </c>
      <c r="J122">
        <f t="shared" si="7"/>
        <v>2463.7999999999997</v>
      </c>
      <c r="K122">
        <f t="shared" si="9"/>
        <v>720</v>
      </c>
      <c r="L122">
        <v>720</v>
      </c>
      <c r="M122">
        <f t="shared" si="8"/>
        <v>327</v>
      </c>
    </row>
    <row r="123" spans="2:13" ht="12.75">
      <c r="B123" s="235">
        <f t="shared" si="1"/>
        <v>108</v>
      </c>
      <c r="C123" s="235">
        <f t="shared" si="2"/>
        <v>120</v>
      </c>
      <c r="D123">
        <v>108</v>
      </c>
      <c r="E123">
        <f t="shared" si="5"/>
        <v>120</v>
      </c>
      <c r="F123">
        <f t="shared" si="6"/>
        <v>2743</v>
      </c>
      <c r="G123">
        <f t="shared" si="5"/>
        <v>3048</v>
      </c>
      <c r="H123">
        <f t="shared" si="3"/>
        <v>1</v>
      </c>
      <c r="I123">
        <v>109</v>
      </c>
      <c r="J123">
        <f t="shared" si="7"/>
        <v>2768.6</v>
      </c>
      <c r="K123">
        <f t="shared" si="9"/>
        <v>805</v>
      </c>
      <c r="L123">
        <v>805</v>
      </c>
      <c r="M123">
        <f t="shared" si="8"/>
        <v>366</v>
      </c>
    </row>
    <row r="124" spans="2:13" ht="12.75">
      <c r="B124" s="235">
        <f t="shared" si="1"/>
        <v>120</v>
      </c>
      <c r="C124" s="235">
        <f t="shared" si="2"/>
        <v>132</v>
      </c>
      <c r="D124">
        <v>120</v>
      </c>
      <c r="E124">
        <v>132</v>
      </c>
      <c r="F124">
        <f t="shared" si="6"/>
        <v>3048</v>
      </c>
      <c r="G124">
        <f>ROUND(E124*25.4,0)</f>
        <v>3353</v>
      </c>
      <c r="H124">
        <f t="shared" si="3"/>
        <v>1</v>
      </c>
      <c r="I124">
        <v>121</v>
      </c>
      <c r="J124">
        <f t="shared" si="7"/>
        <v>3073.3999999999996</v>
      </c>
      <c r="K124">
        <f t="shared" si="9"/>
        <v>890</v>
      </c>
      <c r="L124">
        <v>890</v>
      </c>
      <c r="M124">
        <f t="shared" si="8"/>
        <v>405</v>
      </c>
    </row>
    <row r="128" spans="2:11" ht="12.75">
      <c r="B128" s="243" t="s">
        <v>670</v>
      </c>
      <c r="C128" s="243"/>
      <c r="D128" s="243"/>
      <c r="E128" s="243"/>
      <c r="F128" s="243"/>
      <c r="G128" s="243"/>
      <c r="H128" s="243"/>
      <c r="I128" s="243"/>
      <c r="J128" s="243"/>
      <c r="K128" s="243"/>
    </row>
    <row r="129" spans="2:11" ht="12.75">
      <c r="B129" s="243" t="s">
        <v>671</v>
      </c>
      <c r="C129" s="243" t="s">
        <v>672</v>
      </c>
      <c r="D129" s="243" t="s">
        <v>673</v>
      </c>
      <c r="E129" s="243" t="s">
        <v>674</v>
      </c>
      <c r="F129" s="243" t="s">
        <v>675</v>
      </c>
      <c r="G129" s="243" t="s">
        <v>676</v>
      </c>
      <c r="H129" s="243" t="s">
        <v>677</v>
      </c>
      <c r="I129" s="243" t="s">
        <v>678</v>
      </c>
      <c r="J129" s="243" t="s">
        <v>679</v>
      </c>
      <c r="K129" s="243" t="s">
        <v>680</v>
      </c>
    </row>
    <row r="130" spans="2:11" ht="12.75">
      <c r="B130" s="243">
        <v>30</v>
      </c>
      <c r="C130" s="245">
        <v>0</v>
      </c>
      <c r="D130" s="245">
        <v>1.4</v>
      </c>
      <c r="E130" s="245">
        <v>-0.667</v>
      </c>
      <c r="F130" s="245">
        <v>1.45</v>
      </c>
      <c r="G130" s="245">
        <v>0.519</v>
      </c>
      <c r="H130" s="245">
        <v>48</v>
      </c>
      <c r="I130" s="245">
        <v>-1</v>
      </c>
      <c r="J130" s="245">
        <v>7</v>
      </c>
      <c r="K130" s="245">
        <v>0.5</v>
      </c>
    </row>
    <row r="131" spans="2:11" ht="12.75">
      <c r="B131" s="243">
        <v>30</v>
      </c>
      <c r="C131" s="245">
        <v>10</v>
      </c>
      <c r="D131" s="245">
        <v>1.36</v>
      </c>
      <c r="E131" s="245">
        <v>-0.657</v>
      </c>
      <c r="F131" s="245">
        <v>1.45</v>
      </c>
      <c r="G131" s="245">
        <v>0.519</v>
      </c>
      <c r="H131" s="245">
        <v>45.1</v>
      </c>
      <c r="I131" s="245">
        <v>-0.973</v>
      </c>
      <c r="J131" s="245">
        <v>7</v>
      </c>
      <c r="K131" s="245">
        <v>0.5</v>
      </c>
    </row>
    <row r="132" spans="2:11" ht="12.75">
      <c r="B132" s="243">
        <v>30</v>
      </c>
      <c r="C132" s="245">
        <v>100</v>
      </c>
      <c r="D132" s="245">
        <v>0.593</v>
      </c>
      <c r="E132" s="245">
        <v>-0.477</v>
      </c>
      <c r="F132" s="245">
        <v>1.45</v>
      </c>
      <c r="G132" s="245">
        <v>0.519</v>
      </c>
      <c r="H132" s="245">
        <v>4.57</v>
      </c>
      <c r="I132" s="245">
        <v>-0.476</v>
      </c>
      <c r="J132" s="245">
        <v>7</v>
      </c>
      <c r="K132" s="245">
        <v>0.5</v>
      </c>
    </row>
    <row r="133" spans="2:11" ht="12.75">
      <c r="B133" s="243">
        <v>30</v>
      </c>
      <c r="C133" s="245">
        <v>1000</v>
      </c>
      <c r="D133" s="245">
        <v>0.321</v>
      </c>
      <c r="E133" s="245">
        <v>-0.388</v>
      </c>
      <c r="F133" s="245">
        <v>1.45</v>
      </c>
      <c r="G133" s="245">
        <v>0.519</v>
      </c>
      <c r="H133" s="245">
        <v>0.486</v>
      </c>
      <c r="I133" s="245">
        <v>-0.152</v>
      </c>
      <c r="J133" s="245">
        <v>7</v>
      </c>
      <c r="K133" s="245">
        <v>0.5</v>
      </c>
    </row>
    <row r="134" spans="2:11" ht="12.75">
      <c r="B134" s="243">
        <v>30</v>
      </c>
      <c r="C134" s="245">
        <v>10000</v>
      </c>
      <c r="D134" s="245">
        <v>0.321</v>
      </c>
      <c r="E134" s="245">
        <v>-0.388</v>
      </c>
      <c r="F134" s="245">
        <v>1.45</v>
      </c>
      <c r="G134" s="245">
        <v>0.519</v>
      </c>
      <c r="H134" s="245">
        <v>0.372</v>
      </c>
      <c r="I134" s="245">
        <v>-0.123</v>
      </c>
      <c r="J134" s="245">
        <v>7</v>
      </c>
      <c r="K134" s="245">
        <v>0.5</v>
      </c>
    </row>
    <row r="135" spans="2:11" ht="12.75">
      <c r="B135" s="243">
        <v>45</v>
      </c>
      <c r="C135" s="246">
        <v>0</v>
      </c>
      <c r="D135" s="246">
        <v>1.55</v>
      </c>
      <c r="E135" s="246">
        <v>-0.667</v>
      </c>
      <c r="F135" s="246">
        <v>1.93</v>
      </c>
      <c r="G135" s="246">
        <v>0.5</v>
      </c>
      <c r="H135" s="246">
        <v>32</v>
      </c>
      <c r="I135" s="246">
        <v>-1</v>
      </c>
      <c r="J135" s="246">
        <v>6.59</v>
      </c>
      <c r="K135" s="246">
        <v>0.52</v>
      </c>
    </row>
    <row r="136" spans="2:11" ht="12.75">
      <c r="B136" s="243">
        <v>45</v>
      </c>
      <c r="C136" s="246">
        <v>10</v>
      </c>
      <c r="D136" s="246">
        <v>0.498</v>
      </c>
      <c r="E136" s="246">
        <v>-0.656</v>
      </c>
      <c r="F136" s="246">
        <v>1.93</v>
      </c>
      <c r="G136" s="246">
        <v>0.5</v>
      </c>
      <c r="H136" s="246">
        <v>26.2</v>
      </c>
      <c r="I136" s="246">
        <v>-0.913</v>
      </c>
      <c r="J136" s="246">
        <v>6.59</v>
      </c>
      <c r="K136" s="246">
        <v>0.52</v>
      </c>
    </row>
    <row r="137" spans="2:11" ht="12.75">
      <c r="B137" s="243">
        <v>45</v>
      </c>
      <c r="C137" s="246">
        <v>100</v>
      </c>
      <c r="D137" s="246">
        <v>0.73</v>
      </c>
      <c r="E137" s="246">
        <v>-0.5</v>
      </c>
      <c r="F137" s="246">
        <v>1.93</v>
      </c>
      <c r="G137" s="246">
        <v>0.5</v>
      </c>
      <c r="H137" s="246">
        <v>3.5</v>
      </c>
      <c r="I137" s="246">
        <v>-0.476</v>
      </c>
      <c r="J137" s="246">
        <v>6.59</v>
      </c>
      <c r="K137" s="246">
        <v>0.52</v>
      </c>
    </row>
    <row r="138" spans="2:11" ht="12.75">
      <c r="B138" s="243">
        <v>45</v>
      </c>
      <c r="C138" s="246">
        <v>1000</v>
      </c>
      <c r="D138" s="246">
        <v>0.37</v>
      </c>
      <c r="E138" s="246">
        <v>-0.396</v>
      </c>
      <c r="F138" s="246">
        <v>1.93</v>
      </c>
      <c r="G138" s="246">
        <v>0.5</v>
      </c>
      <c r="H138" s="246">
        <v>0.333</v>
      </c>
      <c r="I138" s="246">
        <v>-0.136</v>
      </c>
      <c r="J138" s="246">
        <v>6.59</v>
      </c>
      <c r="K138" s="246">
        <v>0.52</v>
      </c>
    </row>
    <row r="139" spans="2:11" ht="12.75">
      <c r="B139" s="243">
        <v>45</v>
      </c>
      <c r="C139" s="246">
        <v>10000</v>
      </c>
      <c r="D139" s="246">
        <v>0.37</v>
      </c>
      <c r="E139" s="246">
        <v>-0.396</v>
      </c>
      <c r="F139" s="246">
        <v>1.93</v>
      </c>
      <c r="G139" s="246">
        <v>0.5</v>
      </c>
      <c r="H139" s="246">
        <v>0.303</v>
      </c>
      <c r="I139" s="246">
        <v>-0.126</v>
      </c>
      <c r="J139" s="246">
        <v>6.59</v>
      </c>
      <c r="K139" s="246">
        <v>0.52</v>
      </c>
    </row>
    <row r="140" spans="2:11" ht="12.75">
      <c r="B140" s="243">
        <v>60</v>
      </c>
      <c r="C140" s="245">
        <v>0</v>
      </c>
      <c r="D140" s="245">
        <v>1.4</v>
      </c>
      <c r="E140" s="245">
        <v>-0.667</v>
      </c>
      <c r="F140" s="245">
        <v>1.45</v>
      </c>
      <c r="G140" s="245">
        <v>0.519</v>
      </c>
      <c r="H140" s="245">
        <v>48</v>
      </c>
      <c r="I140" s="245">
        <v>-1</v>
      </c>
      <c r="J140" s="245">
        <v>7</v>
      </c>
      <c r="K140" s="245">
        <v>0.5</v>
      </c>
    </row>
    <row r="141" spans="2:11" ht="12.75">
      <c r="B141" s="243">
        <v>60</v>
      </c>
      <c r="C141" s="245">
        <v>10</v>
      </c>
      <c r="D141" s="245">
        <v>1.36</v>
      </c>
      <c r="E141" s="245">
        <v>-0.657</v>
      </c>
      <c r="F141" s="245">
        <v>1.45</v>
      </c>
      <c r="G141" s="245">
        <v>0.519</v>
      </c>
      <c r="H141" s="245">
        <v>45.1</v>
      </c>
      <c r="I141" s="245">
        <v>-0.973</v>
      </c>
      <c r="J141" s="245">
        <v>7</v>
      </c>
      <c r="K141" s="245">
        <v>0.5</v>
      </c>
    </row>
    <row r="142" spans="2:11" ht="12.75">
      <c r="B142" s="243">
        <v>60</v>
      </c>
      <c r="C142" s="245">
        <v>100</v>
      </c>
      <c r="D142" s="245">
        <v>0.593</v>
      </c>
      <c r="E142" s="245">
        <v>-0.477</v>
      </c>
      <c r="F142" s="245">
        <v>1.45</v>
      </c>
      <c r="G142" s="245">
        <v>0.519</v>
      </c>
      <c r="H142" s="245">
        <v>4.57</v>
      </c>
      <c r="I142" s="245">
        <v>-0.476</v>
      </c>
      <c r="J142" s="245">
        <v>7</v>
      </c>
      <c r="K142" s="245">
        <v>0.5</v>
      </c>
    </row>
    <row r="143" spans="2:11" ht="12.75">
      <c r="B143" s="243">
        <v>60</v>
      </c>
      <c r="C143" s="245">
        <v>1000</v>
      </c>
      <c r="D143" s="245">
        <v>0.321</v>
      </c>
      <c r="E143" s="245">
        <v>-0.388</v>
      </c>
      <c r="F143" s="245">
        <v>1.45</v>
      </c>
      <c r="G143" s="245">
        <v>0.519</v>
      </c>
      <c r="H143" s="245">
        <v>0.486</v>
      </c>
      <c r="I143" s="245">
        <v>-0.152</v>
      </c>
      <c r="J143" s="245">
        <v>7</v>
      </c>
      <c r="K143" s="245">
        <v>0.5</v>
      </c>
    </row>
    <row r="144" spans="2:11" ht="12.75">
      <c r="B144" s="243">
        <v>60</v>
      </c>
      <c r="C144" s="245">
        <v>10000</v>
      </c>
      <c r="D144" s="245">
        <v>0.321</v>
      </c>
      <c r="E144" s="245">
        <v>-0.388</v>
      </c>
      <c r="F144" s="245">
        <v>1.45</v>
      </c>
      <c r="G144" s="245">
        <v>0.519</v>
      </c>
      <c r="H144" s="245">
        <v>0.372</v>
      </c>
      <c r="I144" s="245">
        <v>-0.123</v>
      </c>
      <c r="J144" s="245">
        <v>7</v>
      </c>
      <c r="K144" s="245">
        <v>0.5</v>
      </c>
    </row>
    <row r="145" spans="2:11" ht="12.75">
      <c r="B145" s="243">
        <v>90</v>
      </c>
      <c r="C145" s="246">
        <v>0</v>
      </c>
      <c r="D145" s="246">
        <v>0.97</v>
      </c>
      <c r="E145" s="246">
        <f>0.667</f>
        <v>0.667</v>
      </c>
      <c r="F145" s="246">
        <v>1.187</v>
      </c>
      <c r="G145" s="246">
        <v>0.37</v>
      </c>
      <c r="H145" s="246">
        <v>35</v>
      </c>
      <c r="I145" s="246">
        <v>-1</v>
      </c>
      <c r="J145" s="246">
        <v>6.3</v>
      </c>
      <c r="K145" s="246">
        <v>0.378</v>
      </c>
    </row>
    <row r="146" spans="2:11" ht="12.75">
      <c r="B146" s="243">
        <v>90</v>
      </c>
      <c r="C146" s="246">
        <v>10</v>
      </c>
      <c r="D146" s="246">
        <v>0.9</v>
      </c>
      <c r="E146" s="246">
        <v>-0.631</v>
      </c>
      <c r="F146" s="246">
        <v>1.187</v>
      </c>
      <c r="G146" s="246">
        <v>0.37</v>
      </c>
      <c r="H146" s="246">
        <v>32.1</v>
      </c>
      <c r="I146" s="246">
        <v>-0.0963</v>
      </c>
      <c r="J146" s="246">
        <v>6.3</v>
      </c>
      <c r="K146" s="246">
        <v>0.378</v>
      </c>
    </row>
    <row r="147" spans="2:11" ht="12.75">
      <c r="B147" s="243">
        <v>90</v>
      </c>
      <c r="C147" s="246">
        <v>100</v>
      </c>
      <c r="D147" s="246">
        <v>0.408</v>
      </c>
      <c r="E147" s="246">
        <v>-0.46</v>
      </c>
      <c r="F147" s="246">
        <v>1.187</v>
      </c>
      <c r="G147" s="246">
        <v>0.37</v>
      </c>
      <c r="H147" s="246">
        <v>6.09</v>
      </c>
      <c r="I147" s="246">
        <v>-0.602</v>
      </c>
      <c r="J147" s="246">
        <v>6.3</v>
      </c>
      <c r="K147" s="246">
        <v>0.378</v>
      </c>
    </row>
    <row r="148" spans="2:11" ht="12.75">
      <c r="B148" s="243">
        <v>90</v>
      </c>
      <c r="C148" s="246">
        <v>1000</v>
      </c>
      <c r="D148" s="246">
        <v>0.107</v>
      </c>
      <c r="E148" s="246">
        <v>-0.266</v>
      </c>
      <c r="F148" s="246">
        <v>1.187</v>
      </c>
      <c r="G148" s="246">
        <v>0.37</v>
      </c>
      <c r="H148" s="246">
        <v>0.0815</v>
      </c>
      <c r="I148" s="246">
        <v>-0.022</v>
      </c>
      <c r="J148" s="246">
        <v>6.3</v>
      </c>
      <c r="K148" s="246">
        <v>0.378</v>
      </c>
    </row>
    <row r="149" spans="2:11" ht="12.75">
      <c r="B149" s="243">
        <v>90</v>
      </c>
      <c r="C149" s="246">
        <v>10000</v>
      </c>
      <c r="D149" s="246">
        <v>0.37</v>
      </c>
      <c r="E149" s="246">
        <v>-0.395</v>
      </c>
      <c r="F149" s="246">
        <v>1.187</v>
      </c>
      <c r="G149" s="246">
        <v>0.37</v>
      </c>
      <c r="H149" s="246">
        <v>0.391</v>
      </c>
      <c r="I149" s="246">
        <v>-0.148</v>
      </c>
      <c r="J149" s="246">
        <v>6.3</v>
      </c>
      <c r="K149" s="246">
        <v>0.378</v>
      </c>
    </row>
    <row r="152" spans="2:5" ht="12.75">
      <c r="B152" s="243" t="s">
        <v>729</v>
      </c>
      <c r="C152" s="243"/>
      <c r="D152" s="243"/>
      <c r="E152" s="243"/>
    </row>
    <row r="153" spans="2:4" ht="12.75">
      <c r="B153" s="245" t="s">
        <v>731</v>
      </c>
      <c r="C153" s="245">
        <f aca="true" t="shared" si="10" ref="C153:C166">ROUND(CHOOSE(units,D153,D153*1.730735),0)</f>
        <v>130</v>
      </c>
      <c r="D153" s="243">
        <v>130</v>
      </c>
    </row>
    <row r="154" spans="2:4" ht="12.75">
      <c r="B154" s="245" t="s">
        <v>732</v>
      </c>
      <c r="C154" s="245">
        <f t="shared" si="10"/>
        <v>72</v>
      </c>
      <c r="D154" s="243">
        <v>72</v>
      </c>
    </row>
    <row r="155" spans="2:4" ht="12.75">
      <c r="B155" s="245" t="s">
        <v>733</v>
      </c>
      <c r="C155" s="245">
        <f t="shared" si="10"/>
        <v>15</v>
      </c>
      <c r="D155" s="243">
        <v>15</v>
      </c>
    </row>
    <row r="156" spans="2:4" ht="12.75">
      <c r="B156" s="245" t="s">
        <v>746</v>
      </c>
      <c r="C156" s="245">
        <f t="shared" si="10"/>
        <v>24</v>
      </c>
      <c r="D156" s="243">
        <v>24.4</v>
      </c>
    </row>
    <row r="157" spans="2:4" ht="12.75">
      <c r="B157" s="245" t="s">
        <v>734</v>
      </c>
      <c r="C157" s="245">
        <f t="shared" si="10"/>
        <v>14</v>
      </c>
      <c r="D157" s="243">
        <v>14</v>
      </c>
    </row>
    <row r="158" spans="2:4" ht="12.75">
      <c r="B158" s="245" t="s">
        <v>735</v>
      </c>
      <c r="C158" s="245">
        <f t="shared" si="10"/>
        <v>220</v>
      </c>
      <c r="D158" s="243">
        <v>220</v>
      </c>
    </row>
    <row r="159" spans="2:4" ht="12.75">
      <c r="B159" s="245" t="s">
        <v>736</v>
      </c>
      <c r="C159" s="245">
        <f t="shared" si="10"/>
        <v>26</v>
      </c>
      <c r="D159" s="243">
        <v>26</v>
      </c>
    </row>
    <row r="160" spans="2:4" ht="12.75">
      <c r="B160" s="245" t="s">
        <v>737</v>
      </c>
      <c r="C160" s="245">
        <f t="shared" si="10"/>
        <v>95</v>
      </c>
      <c r="D160" s="243">
        <v>95</v>
      </c>
    </row>
    <row r="161" spans="2:4" ht="12.75">
      <c r="B161" s="245" t="s">
        <v>738</v>
      </c>
      <c r="C161" s="245">
        <f t="shared" si="10"/>
        <v>64</v>
      </c>
      <c r="D161" s="243">
        <v>64</v>
      </c>
    </row>
    <row r="162" spans="2:4" ht="12.75">
      <c r="B162" s="245" t="s">
        <v>739</v>
      </c>
      <c r="C162" s="245">
        <f t="shared" si="10"/>
        <v>43</v>
      </c>
      <c r="D162" s="243">
        <v>43</v>
      </c>
    </row>
    <row r="163" spans="2:4" ht="12.75">
      <c r="B163" s="245" t="s">
        <v>740</v>
      </c>
      <c r="C163" s="245">
        <f t="shared" si="10"/>
        <v>20</v>
      </c>
      <c r="D163" s="243">
        <v>20</v>
      </c>
    </row>
    <row r="164" spans="2:4" ht="12.75">
      <c r="B164" s="245" t="s">
        <v>741</v>
      </c>
      <c r="C164" s="245">
        <f t="shared" si="10"/>
        <v>27</v>
      </c>
      <c r="D164" s="243">
        <v>27</v>
      </c>
    </row>
    <row r="165" spans="2:4" ht="12.75">
      <c r="B165" s="245" t="s">
        <v>742</v>
      </c>
      <c r="C165" s="245">
        <f t="shared" si="10"/>
        <v>12</v>
      </c>
      <c r="D165" s="243">
        <v>12</v>
      </c>
    </row>
    <row r="166" spans="2:4" ht="12.75">
      <c r="B166" s="245" t="s">
        <v>743</v>
      </c>
      <c r="C166" s="245">
        <f t="shared" si="10"/>
        <v>58</v>
      </c>
      <c r="D166" s="243">
        <v>58</v>
      </c>
    </row>
    <row r="169" ht="12.75">
      <c r="C169" s="245" t="s">
        <v>964</v>
      </c>
    </row>
    <row r="170" spans="3:11" ht="12.75">
      <c r="C170" s="405" t="s">
        <v>929</v>
      </c>
      <c r="D170" s="405" t="s">
        <v>965</v>
      </c>
      <c r="E170" s="405" t="s">
        <v>966</v>
      </c>
      <c r="F170" s="405" t="s">
        <v>929</v>
      </c>
      <c r="G170" s="405" t="s">
        <v>965</v>
      </c>
      <c r="H170" s="405" t="s">
        <v>966</v>
      </c>
      <c r="I170" s="405" t="s">
        <v>929</v>
      </c>
      <c r="J170" s="405" t="s">
        <v>965</v>
      </c>
      <c r="K170" s="405" t="s">
        <v>966</v>
      </c>
    </row>
    <row r="171" spans="3:11" ht="12.75">
      <c r="C171" s="405" t="str">
        <f>CHOOSE(units,"in","mm")</f>
        <v>in</v>
      </c>
      <c r="D171" s="405" t="str">
        <f>CHOOSE(units,"in","DN")</f>
        <v>in</v>
      </c>
      <c r="E171" s="405" t="str">
        <f>CHOOSE(units,"lb","kg")</f>
        <v>lb</v>
      </c>
      <c r="F171" s="405" t="s">
        <v>818</v>
      </c>
      <c r="G171" s="405" t="s">
        <v>818</v>
      </c>
      <c r="H171" s="405" t="s">
        <v>924</v>
      </c>
      <c r="I171" s="405" t="s">
        <v>662</v>
      </c>
      <c r="J171" s="405" t="s">
        <v>75</v>
      </c>
      <c r="K171" s="405" t="s">
        <v>925</v>
      </c>
    </row>
    <row r="172" spans="3:11" ht="12.75">
      <c r="C172">
        <f aca="true" t="shared" si="11" ref="C172:C185">CHOOSE(units,F172,I172)</f>
        <v>1.049</v>
      </c>
      <c r="D172">
        <f aca="true" t="shared" si="12" ref="D172:D185">CHOOSE(units,G172,J172)</f>
        <v>1</v>
      </c>
      <c r="E172">
        <f aca="true" t="shared" si="13" ref="E172:E185">CHOOSE(units,H172,K172)</f>
        <v>3</v>
      </c>
      <c r="F172">
        <v>1.049</v>
      </c>
      <c r="G172">
        <v>1</v>
      </c>
      <c r="H172">
        <v>3</v>
      </c>
      <c r="I172">
        <f>F172*25.4</f>
        <v>26.644599999999997</v>
      </c>
      <c r="J172">
        <v>25</v>
      </c>
      <c r="K172">
        <f>H172/2.2</f>
        <v>1.3636363636363635</v>
      </c>
    </row>
    <row r="173" spans="2:11" ht="12.75">
      <c r="B173">
        <f>C172</f>
        <v>1.049</v>
      </c>
      <c r="C173">
        <f t="shared" si="11"/>
        <v>1.61</v>
      </c>
      <c r="D173">
        <f t="shared" si="12"/>
        <v>1.5</v>
      </c>
      <c r="E173">
        <f t="shared" si="13"/>
        <v>4</v>
      </c>
      <c r="F173">
        <v>1.61</v>
      </c>
      <c r="G173">
        <v>1.5</v>
      </c>
      <c r="H173">
        <v>4</v>
      </c>
      <c r="I173">
        <f aca="true" t="shared" si="14" ref="I173:I185">F173*25.4</f>
        <v>40.894</v>
      </c>
      <c r="J173">
        <v>40</v>
      </c>
      <c r="K173">
        <f aca="true" t="shared" si="15" ref="K173:K185">H173/2.2</f>
        <v>1.8181818181818181</v>
      </c>
    </row>
    <row r="174" spans="2:11" ht="12.75">
      <c r="B174">
        <f aca="true" t="shared" si="16" ref="B174:B185">C173</f>
        <v>1.61</v>
      </c>
      <c r="C174">
        <f t="shared" si="11"/>
        <v>2.067</v>
      </c>
      <c r="D174">
        <f t="shared" si="12"/>
        <v>2</v>
      </c>
      <c r="E174">
        <f t="shared" si="13"/>
        <v>6</v>
      </c>
      <c r="F174">
        <v>2.067</v>
      </c>
      <c r="G174">
        <v>2</v>
      </c>
      <c r="H174">
        <v>6</v>
      </c>
      <c r="I174">
        <f t="shared" si="14"/>
        <v>52.5018</v>
      </c>
      <c r="J174">
        <v>50</v>
      </c>
      <c r="K174">
        <f t="shared" si="15"/>
        <v>2.727272727272727</v>
      </c>
    </row>
    <row r="175" spans="2:11" ht="12.75">
      <c r="B175">
        <f t="shared" si="16"/>
        <v>2.067</v>
      </c>
      <c r="C175">
        <f t="shared" si="11"/>
        <v>3.26</v>
      </c>
      <c r="D175">
        <f t="shared" si="12"/>
        <v>3</v>
      </c>
      <c r="E175">
        <f t="shared" si="13"/>
        <v>12</v>
      </c>
      <c r="F175">
        <v>3.26</v>
      </c>
      <c r="G175">
        <v>3</v>
      </c>
      <c r="H175">
        <v>12</v>
      </c>
      <c r="I175">
        <f t="shared" si="14"/>
        <v>82.80399999999999</v>
      </c>
      <c r="J175">
        <v>80</v>
      </c>
      <c r="K175">
        <f t="shared" si="15"/>
        <v>5.454545454545454</v>
      </c>
    </row>
    <row r="176" spans="2:11" ht="12.75">
      <c r="B176">
        <f t="shared" si="16"/>
        <v>3.26</v>
      </c>
      <c r="C176">
        <f t="shared" si="11"/>
        <v>4.26</v>
      </c>
      <c r="D176">
        <f t="shared" si="12"/>
        <v>4</v>
      </c>
      <c r="E176">
        <f t="shared" si="13"/>
        <v>17</v>
      </c>
      <c r="F176">
        <v>4.26</v>
      </c>
      <c r="G176">
        <v>4</v>
      </c>
      <c r="H176">
        <v>17</v>
      </c>
      <c r="I176">
        <f t="shared" si="14"/>
        <v>108.204</v>
      </c>
      <c r="J176">
        <v>100</v>
      </c>
      <c r="K176">
        <f t="shared" si="15"/>
        <v>7.727272727272727</v>
      </c>
    </row>
    <row r="177" spans="2:11" ht="12.75">
      <c r="B177">
        <f t="shared" si="16"/>
        <v>4.26</v>
      </c>
      <c r="C177">
        <f t="shared" si="11"/>
        <v>6.356999999999999</v>
      </c>
      <c r="D177">
        <f t="shared" si="12"/>
        <v>6</v>
      </c>
      <c r="E177">
        <f t="shared" si="13"/>
        <v>28</v>
      </c>
      <c r="F177">
        <v>6.356999999999999</v>
      </c>
      <c r="G177">
        <v>6</v>
      </c>
      <c r="H177">
        <v>28</v>
      </c>
      <c r="I177">
        <f t="shared" si="14"/>
        <v>161.46779999999998</v>
      </c>
      <c r="J177">
        <v>150</v>
      </c>
      <c r="K177">
        <f t="shared" si="15"/>
        <v>12.727272727272727</v>
      </c>
    </row>
    <row r="178" spans="2:11" ht="12.75">
      <c r="B178">
        <f t="shared" si="16"/>
        <v>6.356999999999999</v>
      </c>
      <c r="C178">
        <f t="shared" si="11"/>
        <v>8.329</v>
      </c>
      <c r="D178">
        <f t="shared" si="12"/>
        <v>8</v>
      </c>
      <c r="E178">
        <f t="shared" si="13"/>
        <v>44</v>
      </c>
      <c r="F178">
        <v>8.329</v>
      </c>
      <c r="G178">
        <v>8</v>
      </c>
      <c r="H178">
        <v>44</v>
      </c>
      <c r="I178">
        <f t="shared" si="14"/>
        <v>211.5566</v>
      </c>
      <c r="J178">
        <v>200</v>
      </c>
      <c r="K178">
        <f t="shared" si="15"/>
        <v>20</v>
      </c>
    </row>
    <row r="179" spans="2:11" ht="12.75">
      <c r="B179">
        <f t="shared" si="16"/>
        <v>8.329</v>
      </c>
      <c r="C179">
        <f t="shared" si="11"/>
        <v>10.42</v>
      </c>
      <c r="D179">
        <f t="shared" si="12"/>
        <v>10</v>
      </c>
      <c r="E179">
        <f t="shared" si="13"/>
        <v>56</v>
      </c>
      <c r="F179">
        <v>10.42</v>
      </c>
      <c r="G179">
        <v>10</v>
      </c>
      <c r="H179">
        <v>56</v>
      </c>
      <c r="I179">
        <f t="shared" si="14"/>
        <v>264.668</v>
      </c>
      <c r="J179">
        <v>250</v>
      </c>
      <c r="K179">
        <f t="shared" si="15"/>
        <v>25.454545454545453</v>
      </c>
    </row>
    <row r="180" spans="2:11" ht="12.75">
      <c r="B180">
        <f t="shared" si="16"/>
        <v>10.42</v>
      </c>
      <c r="C180">
        <f t="shared" si="11"/>
        <v>12.39</v>
      </c>
      <c r="D180">
        <f t="shared" si="12"/>
        <v>12</v>
      </c>
      <c r="E180">
        <f t="shared" si="13"/>
        <v>90</v>
      </c>
      <c r="F180">
        <v>12.39</v>
      </c>
      <c r="G180">
        <v>12</v>
      </c>
      <c r="H180">
        <v>90</v>
      </c>
      <c r="I180">
        <f t="shared" si="14"/>
        <v>314.706</v>
      </c>
      <c r="J180">
        <v>300</v>
      </c>
      <c r="K180">
        <f t="shared" si="15"/>
        <v>40.90909090909091</v>
      </c>
    </row>
    <row r="181" spans="2:11" ht="12.75">
      <c r="B181">
        <f t="shared" si="16"/>
        <v>12.39</v>
      </c>
      <c r="C181">
        <f t="shared" si="11"/>
        <v>13.623999999999999</v>
      </c>
      <c r="D181">
        <f t="shared" si="12"/>
        <v>14</v>
      </c>
      <c r="E181">
        <f t="shared" si="13"/>
        <v>118</v>
      </c>
      <c r="F181">
        <v>13.623999999999999</v>
      </c>
      <c r="G181">
        <v>14</v>
      </c>
      <c r="H181">
        <v>118</v>
      </c>
      <c r="I181">
        <f t="shared" si="14"/>
        <v>346.04959999999994</v>
      </c>
      <c r="J181">
        <v>350</v>
      </c>
      <c r="K181">
        <f t="shared" si="15"/>
        <v>53.63636363636363</v>
      </c>
    </row>
    <row r="182" spans="2:11" ht="12.75">
      <c r="B182">
        <f t="shared" si="16"/>
        <v>13.623999999999999</v>
      </c>
      <c r="C182">
        <f t="shared" si="11"/>
        <v>15.623999999999999</v>
      </c>
      <c r="D182">
        <f t="shared" si="12"/>
        <v>16</v>
      </c>
      <c r="E182">
        <f t="shared" si="13"/>
        <v>146</v>
      </c>
      <c r="F182">
        <v>15.623999999999999</v>
      </c>
      <c r="G182">
        <v>16</v>
      </c>
      <c r="H182">
        <v>146</v>
      </c>
      <c r="I182">
        <f t="shared" si="14"/>
        <v>396.84959999999995</v>
      </c>
      <c r="J182">
        <v>400</v>
      </c>
      <c r="K182">
        <f t="shared" si="15"/>
        <v>66.36363636363636</v>
      </c>
    </row>
    <row r="183" spans="2:11" ht="12.75">
      <c r="B183">
        <f t="shared" si="16"/>
        <v>15.623999999999999</v>
      </c>
      <c r="C183">
        <f t="shared" si="11"/>
        <v>17.624000000000002</v>
      </c>
      <c r="D183">
        <f t="shared" si="12"/>
        <v>18</v>
      </c>
      <c r="E183">
        <f t="shared" si="13"/>
        <v>170</v>
      </c>
      <c r="F183">
        <v>17.624000000000002</v>
      </c>
      <c r="G183">
        <v>18</v>
      </c>
      <c r="H183">
        <v>170</v>
      </c>
      <c r="I183">
        <f t="shared" si="14"/>
        <v>447.6496</v>
      </c>
      <c r="J183">
        <v>450</v>
      </c>
      <c r="K183">
        <f t="shared" si="15"/>
        <v>77.27272727272727</v>
      </c>
    </row>
    <row r="184" spans="2:11" ht="12.75">
      <c r="B184">
        <f t="shared" si="16"/>
        <v>17.624000000000002</v>
      </c>
      <c r="C184">
        <f t="shared" si="11"/>
        <v>19.564</v>
      </c>
      <c r="D184">
        <f t="shared" si="12"/>
        <v>20</v>
      </c>
      <c r="E184">
        <f t="shared" si="13"/>
        <v>202</v>
      </c>
      <c r="F184">
        <v>19.564</v>
      </c>
      <c r="G184">
        <v>20</v>
      </c>
      <c r="H184">
        <v>202</v>
      </c>
      <c r="I184">
        <f t="shared" si="14"/>
        <v>496.9256</v>
      </c>
      <c r="J184">
        <v>500</v>
      </c>
      <c r="K184">
        <f t="shared" si="15"/>
        <v>91.81818181818181</v>
      </c>
    </row>
    <row r="185" spans="2:11" ht="12.75">
      <c r="B185">
        <f t="shared" si="16"/>
        <v>19.564</v>
      </c>
      <c r="C185">
        <f t="shared" si="11"/>
        <v>23.5</v>
      </c>
      <c r="D185">
        <f t="shared" si="12"/>
        <v>24</v>
      </c>
      <c r="E185">
        <f t="shared" si="13"/>
        <v>275</v>
      </c>
      <c r="F185">
        <v>23.5</v>
      </c>
      <c r="G185">
        <v>24</v>
      </c>
      <c r="H185">
        <v>275</v>
      </c>
      <c r="I185">
        <f t="shared" si="14"/>
        <v>596.9</v>
      </c>
      <c r="J185">
        <v>600</v>
      </c>
      <c r="K185">
        <f t="shared" si="15"/>
        <v>124.99999999999999</v>
      </c>
    </row>
  </sheetData>
  <sheetProtection/>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7"/>
  <dimension ref="A1:CU259"/>
  <sheetViews>
    <sheetView showGridLines="0" zoomScale="75" zoomScaleNormal="75" zoomScalePageLayoutView="0" workbookViewId="0" topLeftCell="A1">
      <selection activeCell="C61" sqref="C61"/>
    </sheetView>
  </sheetViews>
  <sheetFormatPr defaultColWidth="9.140625" defaultRowHeight="12.75"/>
  <cols>
    <col min="1" max="1" width="30.28125" style="51" customWidth="1"/>
    <col min="2" max="2" width="20.7109375" style="51" customWidth="1"/>
    <col min="3" max="3" width="56.57421875" style="51" customWidth="1"/>
    <col min="4" max="5" width="9.28125" style="51" bestFit="1" customWidth="1"/>
    <col min="6" max="6" width="9.140625" style="51" customWidth="1"/>
    <col min="7" max="8" width="9.28125" style="51" bestFit="1" customWidth="1"/>
    <col min="9" max="9" width="11.7109375" style="51" customWidth="1"/>
    <col min="10" max="14" width="9.28125" style="51" bestFit="1" customWidth="1"/>
    <col min="15" max="15" width="12.140625" style="51" bestFit="1" customWidth="1"/>
    <col min="16" max="18" width="9.28125" style="51" bestFit="1" customWidth="1"/>
    <col min="19" max="20" width="9.28125" style="51" customWidth="1"/>
    <col min="21" max="21" width="21.28125" style="51" customWidth="1"/>
    <col min="22" max="27" width="9.28125" style="51" customWidth="1"/>
    <col min="28" max="32" width="9.140625" style="51" customWidth="1"/>
    <col min="33" max="33" width="13.28125" style="51" bestFit="1" customWidth="1"/>
    <col min="34" max="35" width="9.140625" style="51" customWidth="1"/>
    <col min="36" max="36" width="11.7109375" style="51" bestFit="1" customWidth="1"/>
    <col min="37" max="42" width="9.140625" style="51" customWidth="1"/>
    <col min="43" max="43" width="15.8515625" style="51" customWidth="1"/>
    <col min="44" max="61" width="9.140625" style="51" customWidth="1"/>
    <col min="62" max="62" width="55.421875" style="51" customWidth="1"/>
    <col min="63" max="16384" width="9.140625" style="51" customWidth="1"/>
  </cols>
  <sheetData>
    <row r="1" ht="15.75">
      <c r="A1" s="50" t="s">
        <v>110</v>
      </c>
    </row>
    <row r="2" spans="36:42" ht="12.75">
      <c r="AJ2"/>
      <c r="AK2"/>
      <c r="AL2"/>
      <c r="AM2"/>
      <c r="AN2"/>
      <c r="AO2"/>
      <c r="AP2"/>
    </row>
    <row r="3" spans="1:89" ht="15">
      <c r="A3" s="51" t="s">
        <v>111</v>
      </c>
      <c r="D3" s="52" t="s">
        <v>112</v>
      </c>
      <c r="AF3" s="53" t="s">
        <v>113</v>
      </c>
      <c r="AG3" s="54"/>
      <c r="AH3" s="54"/>
      <c r="AI3" s="55"/>
      <c r="AJ3"/>
      <c r="AK3"/>
      <c r="AL3"/>
      <c r="AM3"/>
      <c r="AN3"/>
      <c r="AO3"/>
      <c r="AP3"/>
      <c r="BW3" s="71" t="s">
        <v>116</v>
      </c>
      <c r="BX3" s="72"/>
      <c r="BY3" s="73" t="s">
        <v>100</v>
      </c>
      <c r="BZ3" s="72"/>
      <c r="CA3" s="74" t="str">
        <f>IF(ISNA(VLOOKUP(BY3,HTF_properties,1,FALSE)),"","&lt;-- Already in the database")</f>
        <v>&lt;-- Already in the database</v>
      </c>
      <c r="CB3" s="58"/>
      <c r="CC3" s="75"/>
      <c r="CE3" s="71" t="s">
        <v>116</v>
      </c>
      <c r="CF3" s="72"/>
      <c r="CG3" s="73" t="s">
        <v>466</v>
      </c>
      <c r="CH3" s="72"/>
      <c r="CI3" s="74" t="str">
        <f>IF(ISNA(VLOOKUP(CG3,HTF_properties,1,FALSE)),"","&lt;-- Already in the database")</f>
        <v>&lt;-- Already in the database</v>
      </c>
      <c r="CJ3" s="58"/>
      <c r="CK3" s="75"/>
    </row>
    <row r="4" spans="4:89" ht="20.25" customHeight="1">
      <c r="D4" s="56" t="s">
        <v>114</v>
      </c>
      <c r="AF4" s="57" t="s">
        <v>114</v>
      </c>
      <c r="AG4" s="58"/>
      <c r="AH4" s="58"/>
      <c r="AI4" s="59">
        <v>2</v>
      </c>
      <c r="AJ4"/>
      <c r="AK4"/>
      <c r="AL4"/>
      <c r="AM4"/>
      <c r="AN4"/>
      <c r="AO4"/>
      <c r="AP4"/>
      <c r="BW4" s="76" t="s">
        <v>118</v>
      </c>
      <c r="BX4" s="77"/>
      <c r="BY4" s="78"/>
      <c r="BZ4" s="77"/>
      <c r="CA4" s="61"/>
      <c r="CB4" s="61"/>
      <c r="CC4" s="79"/>
      <c r="CE4" s="76" t="s">
        <v>118</v>
      </c>
      <c r="CF4" s="77"/>
      <c r="CG4" s="78"/>
      <c r="CH4" s="77"/>
      <c r="CI4" s="61"/>
      <c r="CJ4" s="61"/>
      <c r="CK4" s="79"/>
    </row>
    <row r="5" spans="4:89" ht="20.25" customHeight="1">
      <c r="D5" s="56" t="s">
        <v>0</v>
      </c>
      <c r="M5" s="51">
        <v>5.16</v>
      </c>
      <c r="N5" s="51">
        <f>M5/0.1336806</f>
        <v>38.59946768641074</v>
      </c>
      <c r="AF5" s="60" t="s">
        <v>115</v>
      </c>
      <c r="AG5" s="61"/>
      <c r="AH5" s="61"/>
      <c r="AI5" s="62">
        <v>2</v>
      </c>
      <c r="AJ5"/>
      <c r="AK5"/>
      <c r="AL5"/>
      <c r="AM5"/>
      <c r="AN5"/>
      <c r="AO5"/>
      <c r="AP5"/>
      <c r="BW5" s="76" t="s">
        <v>120</v>
      </c>
      <c r="BX5" s="77"/>
      <c r="BY5" s="78" t="s">
        <v>469</v>
      </c>
      <c r="BZ5" s="77"/>
      <c r="CA5" s="61"/>
      <c r="CB5" s="61" t="s">
        <v>108</v>
      </c>
      <c r="CC5" s="81">
        <v>395</v>
      </c>
      <c r="CE5" s="76" t="s">
        <v>120</v>
      </c>
      <c r="CF5" s="77"/>
      <c r="CG5" s="78" t="s">
        <v>469</v>
      </c>
      <c r="CH5" s="77"/>
      <c r="CI5" s="61"/>
      <c r="CJ5" s="61" t="s">
        <v>108</v>
      </c>
      <c r="CK5" s="81">
        <v>663</v>
      </c>
    </row>
    <row r="6" spans="4:89" ht="20.25" customHeight="1">
      <c r="D6" s="56" t="s">
        <v>34</v>
      </c>
      <c r="AF6" s="60" t="s">
        <v>34</v>
      </c>
      <c r="AG6" s="61"/>
      <c r="AH6" s="61"/>
      <c r="AI6" s="62">
        <v>2</v>
      </c>
      <c r="AJ6"/>
      <c r="AK6"/>
      <c r="AL6"/>
      <c r="AM6"/>
      <c r="AN6"/>
      <c r="AO6"/>
      <c r="AP6"/>
      <c r="BW6" s="76" t="s">
        <v>122</v>
      </c>
      <c r="BX6" s="77"/>
      <c r="BY6" s="78"/>
      <c r="BZ6" s="80" t="str">
        <f>CHOOSE(htfunits_temp,"°F minimum","°C minimum")</f>
        <v>°C minimum</v>
      </c>
      <c r="CA6" s="61"/>
      <c r="CB6" s="61" t="s">
        <v>123</v>
      </c>
      <c r="CC6" s="81">
        <v>39</v>
      </c>
      <c r="CE6" s="76" t="s">
        <v>122</v>
      </c>
      <c r="CF6" s="77"/>
      <c r="CG6" s="78"/>
      <c r="CH6" s="80" t="str">
        <f>CHOOSE(htfunits_temp,"°F minimum","°C minimum")</f>
        <v>°C minimum</v>
      </c>
      <c r="CI6" s="61"/>
      <c r="CJ6" s="61" t="s">
        <v>123</v>
      </c>
      <c r="CK6" s="81">
        <v>12</v>
      </c>
    </row>
    <row r="7" spans="4:89" ht="20.25" customHeight="1">
      <c r="D7" s="56" t="s">
        <v>33</v>
      </c>
      <c r="AF7" s="60" t="s">
        <v>33</v>
      </c>
      <c r="AG7" s="61"/>
      <c r="AH7" s="61"/>
      <c r="AI7" s="62">
        <v>2</v>
      </c>
      <c r="AJ7"/>
      <c r="AK7"/>
      <c r="AL7"/>
      <c r="AM7"/>
      <c r="AN7"/>
      <c r="AO7"/>
      <c r="AP7"/>
      <c r="BW7" s="76"/>
      <c r="BX7" s="77"/>
      <c r="BY7" s="78"/>
      <c r="BZ7" s="80" t="str">
        <f>CHOOSE(htfunits_temp,"°F maximum","°C maximum")</f>
        <v>°C maximum</v>
      </c>
      <c r="CA7" s="61"/>
      <c r="CB7" s="61" t="s">
        <v>124</v>
      </c>
      <c r="CC7" s="81">
        <v>118.1</v>
      </c>
      <c r="CE7" s="76"/>
      <c r="CF7" s="77"/>
      <c r="CG7" s="78"/>
      <c r="CH7" s="80" t="str">
        <f>CHOOSE(htfunits_temp,"°F maximum","°C maximum")</f>
        <v>°C maximum</v>
      </c>
      <c r="CI7" s="61"/>
      <c r="CJ7" s="61" t="s">
        <v>124</v>
      </c>
      <c r="CK7" s="81">
        <v>82.5</v>
      </c>
    </row>
    <row r="8" spans="4:89" ht="20.25" customHeight="1">
      <c r="D8" s="56" t="s">
        <v>3</v>
      </c>
      <c r="AF8" s="60" t="s">
        <v>3</v>
      </c>
      <c r="AG8" s="61"/>
      <c r="AH8" s="61"/>
      <c r="AI8" s="62">
        <v>1</v>
      </c>
      <c r="AJ8"/>
      <c r="AK8"/>
      <c r="AL8"/>
      <c r="AM8"/>
      <c r="AN8"/>
      <c r="AO8"/>
      <c r="AP8"/>
      <c r="BW8" s="82" t="s">
        <v>125</v>
      </c>
      <c r="BX8" s="61"/>
      <c r="BY8" s="83" t="s">
        <v>470</v>
      </c>
      <c r="BZ8" s="61"/>
      <c r="CA8" s="61"/>
      <c r="CB8" s="61" t="s">
        <v>456</v>
      </c>
      <c r="CC8" s="81">
        <v>60.05</v>
      </c>
      <c r="CE8" s="82" t="s">
        <v>125</v>
      </c>
      <c r="CF8" s="61"/>
      <c r="CG8" s="83" t="s">
        <v>470</v>
      </c>
      <c r="CH8" s="61"/>
      <c r="CI8" s="61"/>
      <c r="CJ8" s="61" t="s">
        <v>456</v>
      </c>
      <c r="CK8" s="81">
        <v>60.1</v>
      </c>
    </row>
    <row r="9" spans="4:89" ht="20.25" customHeight="1">
      <c r="D9" s="56" t="s">
        <v>464</v>
      </c>
      <c r="AD9" s="64"/>
      <c r="AE9" s="64"/>
      <c r="AF9" s="65" t="s">
        <v>464</v>
      </c>
      <c r="AG9" s="66"/>
      <c r="AH9" s="66"/>
      <c r="AI9" s="67">
        <v>2</v>
      </c>
      <c r="AJ9"/>
      <c r="AK9"/>
      <c r="AL9"/>
      <c r="AM9"/>
      <c r="AN9"/>
      <c r="AO9"/>
      <c r="AP9"/>
      <c r="BW9" s="85"/>
      <c r="BX9" s="77"/>
      <c r="BY9" s="77"/>
      <c r="BZ9" s="77"/>
      <c r="CA9" s="77"/>
      <c r="CB9" s="77"/>
      <c r="CC9" s="86"/>
      <c r="CE9" s="85"/>
      <c r="CF9" s="77"/>
      <c r="CG9" s="77"/>
      <c r="CH9" s="77"/>
      <c r="CI9" s="77"/>
      <c r="CJ9" s="77"/>
      <c r="CK9" s="86"/>
    </row>
    <row r="10" spans="4:89" ht="12.75">
      <c r="D10" s="63"/>
      <c r="AD10" s="64"/>
      <c r="AE10" s="64"/>
      <c r="AF10" s="68"/>
      <c r="AG10" s="69"/>
      <c r="AH10" s="69"/>
      <c r="AI10" s="70">
        <f>IF(ISNA(VLOOKUP(F11,HTF_properties,1,FALSE)),1,0)</f>
        <v>0</v>
      </c>
      <c r="AJ10"/>
      <c r="AK10"/>
      <c r="AL10"/>
      <c r="AM10"/>
      <c r="AN10"/>
      <c r="AO10"/>
      <c r="AP10"/>
      <c r="BW10" s="82"/>
      <c r="BX10" s="89" t="s">
        <v>16</v>
      </c>
      <c r="BY10" s="61"/>
      <c r="BZ10" s="89" t="s">
        <v>130</v>
      </c>
      <c r="CA10" s="61"/>
      <c r="CB10" s="89" t="s">
        <v>22</v>
      </c>
      <c r="CC10" s="79"/>
      <c r="CE10" s="82"/>
      <c r="CF10" s="89" t="s">
        <v>16</v>
      </c>
      <c r="CG10" s="61"/>
      <c r="CH10" s="89" t="s">
        <v>130</v>
      </c>
      <c r="CI10" s="61"/>
      <c r="CJ10" s="89" t="s">
        <v>22</v>
      </c>
      <c r="CK10" s="79"/>
    </row>
    <row r="11" spans="4:89" ht="12.75">
      <c r="D11" s="71" t="s">
        <v>116</v>
      </c>
      <c r="E11" s="72"/>
      <c r="F11" s="73" t="s">
        <v>647</v>
      </c>
      <c r="G11" s="72"/>
      <c r="H11" s="74" t="str">
        <f>IF(ISNA(VLOOKUP(F11,HTF_properties,1,FALSE)),"","&lt;-- Already in the database")</f>
        <v>&lt;-- Already in the database</v>
      </c>
      <c r="I11" s="58"/>
      <c r="J11" s="75"/>
      <c r="R11" s="64"/>
      <c r="S11" s="64"/>
      <c r="T11" s="64"/>
      <c r="U11" s="64"/>
      <c r="V11" s="64"/>
      <c r="W11" s="64"/>
      <c r="X11" s="64"/>
      <c r="Y11" s="64"/>
      <c r="Z11" s="64"/>
      <c r="AA11" s="64"/>
      <c r="AB11" s="64"/>
      <c r="AC11" s="64"/>
      <c r="AD11" s="64"/>
      <c r="AE11" s="64"/>
      <c r="AF11" s="64"/>
      <c r="AG11" s="64"/>
      <c r="AH11" s="64"/>
      <c r="AI11" s="64"/>
      <c r="AJ11"/>
      <c r="AK11"/>
      <c r="AL11"/>
      <c r="AM11"/>
      <c r="AN11"/>
      <c r="AO11"/>
      <c r="AP11"/>
      <c r="AQ11" s="64"/>
      <c r="AR11" s="64"/>
      <c r="AS11" s="64"/>
      <c r="AT11" s="64"/>
      <c r="BW11" s="93" t="s">
        <v>132</v>
      </c>
      <c r="BX11" s="89" t="s">
        <v>0</v>
      </c>
      <c r="BY11" s="89" t="s">
        <v>133</v>
      </c>
      <c r="BZ11" s="89" t="s">
        <v>134</v>
      </c>
      <c r="CA11" s="89" t="s">
        <v>135</v>
      </c>
      <c r="CB11" s="89" t="s">
        <v>136</v>
      </c>
      <c r="CC11" s="79"/>
      <c r="CE11" s="93" t="s">
        <v>132</v>
      </c>
      <c r="CF11" s="89" t="s">
        <v>0</v>
      </c>
      <c r="CG11" s="89" t="s">
        <v>133</v>
      </c>
      <c r="CH11" s="89" t="s">
        <v>134</v>
      </c>
      <c r="CI11" s="89" t="s">
        <v>135</v>
      </c>
      <c r="CJ11" s="89" t="s">
        <v>136</v>
      </c>
      <c r="CK11" s="79"/>
    </row>
    <row r="12" spans="4:89" ht="12.75">
      <c r="D12" s="76" t="s">
        <v>118</v>
      </c>
      <c r="E12" s="77"/>
      <c r="F12" s="78"/>
      <c r="G12" s="77"/>
      <c r="H12" s="61"/>
      <c r="I12" s="61"/>
      <c r="J12" s="79"/>
      <c r="R12" s="64"/>
      <c r="S12" s="64"/>
      <c r="T12" s="64"/>
      <c r="U12" s="64"/>
      <c r="V12" s="64"/>
      <c r="W12" s="64"/>
      <c r="X12" s="64"/>
      <c r="Y12" s="64"/>
      <c r="Z12" s="64"/>
      <c r="AA12" s="64"/>
      <c r="AB12" s="64"/>
      <c r="AC12" s="64"/>
      <c r="AD12" s="64"/>
      <c r="AE12" s="64"/>
      <c r="AF12" s="64"/>
      <c r="AG12" s="64"/>
      <c r="AH12" s="64"/>
      <c r="AI12" s="64"/>
      <c r="AJ12"/>
      <c r="AK12"/>
      <c r="AL12"/>
      <c r="AM12"/>
      <c r="AN12"/>
      <c r="AO12"/>
      <c r="AP12"/>
      <c r="AQ12" s="64"/>
      <c r="AR12" s="64"/>
      <c r="BW12" s="97" t="str">
        <f>CHOOSE(htfunits_temp,"°F","°C")</f>
        <v>°C</v>
      </c>
      <c r="BX12" s="98" t="str">
        <f>CHOOSE(htfunits_sg,"lb/cu.ft.","kg/cu.m.")</f>
        <v>kg/cu.m.</v>
      </c>
      <c r="BY12" s="98" t="str">
        <f>CHOOSE(htfunits_heat,"Btu/lb-°F","KJ/kg-°K")</f>
        <v>KJ/kg-°K</v>
      </c>
      <c r="BZ12" s="98" t="str">
        <f>CHOOSE(htfunits_tc,"Btu/ft-hr-°F","W/m-°K")</f>
        <v>W/m-°K</v>
      </c>
      <c r="CA12" s="98" t="str">
        <f>CHOOSE(htfunits_viscosity,"cP","cSt")</f>
        <v>cP</v>
      </c>
      <c r="CB12" s="99" t="s">
        <v>103</v>
      </c>
      <c r="CC12" s="79"/>
      <c r="CE12" s="97" t="str">
        <f>CHOOSE(htfunits_temp,"°F","°C")</f>
        <v>°C</v>
      </c>
      <c r="CF12" s="98" t="str">
        <f>CHOOSE(htfunits_sg,"lb/cu.ft.","kg/cu.m.")</f>
        <v>kg/cu.m.</v>
      </c>
      <c r="CG12" s="98" t="str">
        <f>CHOOSE(htfunits_heat,"Btu/lb-°F","KJ/kg-°K")</f>
        <v>KJ/kg-°K</v>
      </c>
      <c r="CH12" s="98" t="str">
        <f>CHOOSE(htfunits_tc,"Btu/ft-hr-°F","W/m-°K")</f>
        <v>W/m-°K</v>
      </c>
      <c r="CI12" s="98" t="str">
        <f>CHOOSE(htfunits_viscosity,"cP","cSt")</f>
        <v>cP</v>
      </c>
      <c r="CJ12" s="99" t="s">
        <v>103</v>
      </c>
      <c r="CK12" s="79"/>
    </row>
    <row r="13" spans="4:89" ht="12.75">
      <c r="D13" s="76" t="s">
        <v>120</v>
      </c>
      <c r="E13" s="77"/>
      <c r="F13" s="78" t="s">
        <v>469</v>
      </c>
      <c r="G13" s="77"/>
      <c r="H13" s="61"/>
      <c r="I13" s="61" t="s">
        <v>108</v>
      </c>
      <c r="J13" s="81">
        <v>302.38</v>
      </c>
      <c r="R13" s="64"/>
      <c r="S13" s="64"/>
      <c r="T13" s="64"/>
      <c r="U13" s="64"/>
      <c r="V13" s="64"/>
      <c r="W13" s="64"/>
      <c r="X13" s="64"/>
      <c r="Y13" s="64"/>
      <c r="Z13" s="64"/>
      <c r="AA13" s="64"/>
      <c r="AB13" s="64"/>
      <c r="AC13" s="64"/>
      <c r="AD13" s="64"/>
      <c r="AE13" s="64"/>
      <c r="AF13" s="64"/>
      <c r="AG13" s="64"/>
      <c r="AH13" s="64"/>
      <c r="AI13" s="64"/>
      <c r="AJ13"/>
      <c r="AK13"/>
      <c r="AL13"/>
      <c r="AM13"/>
      <c r="AN13"/>
      <c r="AO13"/>
      <c r="AP13"/>
      <c r="AQ13" s="64"/>
      <c r="AR13" s="64"/>
      <c r="BW13" s="106">
        <v>0</v>
      </c>
      <c r="BX13" s="78">
        <v>1068.6666666666667</v>
      </c>
      <c r="BY13" s="78">
        <v>0.468</v>
      </c>
      <c r="BZ13" s="78">
        <v>0.099</v>
      </c>
      <c r="CA13" s="78">
        <v>1.8</v>
      </c>
      <c r="CB13" s="107"/>
      <c r="CC13" s="79"/>
      <c r="CE13" s="106">
        <v>-10</v>
      </c>
      <c r="CF13" s="78">
        <v>809.7536000000001</v>
      </c>
      <c r="CG13" s="78">
        <v>0.55</v>
      </c>
      <c r="CH13" s="78">
        <v>0.094</v>
      </c>
      <c r="CI13" s="78">
        <v>4.8</v>
      </c>
      <c r="CJ13" s="107"/>
      <c r="CK13" s="79"/>
    </row>
    <row r="14" spans="4:89" ht="12.75">
      <c r="D14" s="76" t="s">
        <v>122</v>
      </c>
      <c r="E14" s="77"/>
      <c r="F14" s="78"/>
      <c r="G14" s="80" t="str">
        <f>CHOOSE(htfunits_temp,"°F minimum","°C minimum")</f>
        <v>°C minimum</v>
      </c>
      <c r="H14" s="61"/>
      <c r="I14" s="61" t="s">
        <v>123</v>
      </c>
      <c r="J14" s="81">
        <v>13.333333333333332</v>
      </c>
      <c r="R14" s="64"/>
      <c r="S14" s="64"/>
      <c r="T14" s="64"/>
      <c r="U14" s="64"/>
      <c r="V14" s="64"/>
      <c r="W14" s="64"/>
      <c r="X14" s="64"/>
      <c r="Y14" s="64"/>
      <c r="Z14" s="64"/>
      <c r="AA14" s="64"/>
      <c r="AB14" s="64"/>
      <c r="AC14" s="64"/>
      <c r="AD14" s="64"/>
      <c r="AE14" s="64"/>
      <c r="AF14" s="64"/>
      <c r="AG14" s="64"/>
      <c r="AH14" s="64"/>
      <c r="AI14" s="64"/>
      <c r="AJ14"/>
      <c r="AK14"/>
      <c r="AL14"/>
      <c r="AM14"/>
      <c r="AN14"/>
      <c r="AO14"/>
      <c r="AP14"/>
      <c r="AQ14" s="64"/>
      <c r="AR14" s="64"/>
      <c r="BW14" s="106">
        <v>20</v>
      </c>
      <c r="BX14" s="78">
        <v>1048.6666666666667</v>
      </c>
      <c r="BY14" s="78">
        <v>0.485</v>
      </c>
      <c r="BZ14" s="78">
        <v>0.099</v>
      </c>
      <c r="CA14" s="78">
        <v>2.28</v>
      </c>
      <c r="CB14" s="110">
        <v>11.68</v>
      </c>
      <c r="CC14" s="79"/>
      <c r="CE14" s="106">
        <v>0</v>
      </c>
      <c r="CF14" s="78">
        <v>801.5741333333334</v>
      </c>
      <c r="CG14" s="78">
        <v>0.58</v>
      </c>
      <c r="CH14" s="78">
        <v>0.093</v>
      </c>
      <c r="CI14" s="78">
        <v>3.7</v>
      </c>
      <c r="CJ14" s="110">
        <v>8.42</v>
      </c>
      <c r="CK14" s="79"/>
    </row>
    <row r="15" spans="4:89" ht="12.75">
      <c r="D15" s="76"/>
      <c r="E15" s="77"/>
      <c r="F15" s="78"/>
      <c r="G15" s="80" t="str">
        <f>CHOOSE(htfunits_temp,"°F maximum","°C maximum")</f>
        <v>°C maximum</v>
      </c>
      <c r="H15" s="61"/>
      <c r="I15" s="61" t="s">
        <v>124</v>
      </c>
      <c r="J15" s="81">
        <v>125.66666666666666</v>
      </c>
      <c r="AE15" s="64"/>
      <c r="AF15" s="64"/>
      <c r="AG15" s="64"/>
      <c r="AH15" s="64"/>
      <c r="AI15" s="64"/>
      <c r="AJ15" s="64"/>
      <c r="AK15" s="64"/>
      <c r="AL15" s="64"/>
      <c r="AM15" s="64"/>
      <c r="AN15" s="64"/>
      <c r="AO15" s="64"/>
      <c r="AP15" s="64"/>
      <c r="AQ15" s="64"/>
      <c r="AR15" s="64"/>
      <c r="AS15" s="64"/>
      <c r="AT15" s="64"/>
      <c r="AU15" s="64"/>
      <c r="AV15" s="64"/>
      <c r="BW15" s="106">
        <v>40</v>
      </c>
      <c r="BX15" s="78">
        <v>1028.6666666666667</v>
      </c>
      <c r="BY15" s="78">
        <v>0.503</v>
      </c>
      <c r="BZ15" s="78">
        <v>0.099</v>
      </c>
      <c r="CA15" s="78">
        <v>0.95</v>
      </c>
      <c r="CB15" s="107"/>
      <c r="CC15" s="79"/>
      <c r="CE15" s="106">
        <v>20</v>
      </c>
      <c r="CF15" s="78">
        <v>785.2152000000001</v>
      </c>
      <c r="CG15" s="78">
        <v>0.641</v>
      </c>
      <c r="CH15" s="78">
        <v>0.092</v>
      </c>
      <c r="CI15" s="78">
        <v>2.25</v>
      </c>
      <c r="CJ15" s="107"/>
      <c r="CK15" s="79"/>
    </row>
    <row r="16" spans="4:89" ht="12.75">
      <c r="D16" s="82" t="s">
        <v>125</v>
      </c>
      <c r="E16" s="61"/>
      <c r="F16" s="83" t="s">
        <v>656</v>
      </c>
      <c r="G16" s="61"/>
      <c r="H16" s="61"/>
      <c r="I16" s="61" t="s">
        <v>456</v>
      </c>
      <c r="J16" s="81">
        <v>114.231</v>
      </c>
      <c r="AE16" s="64"/>
      <c r="AF16" s="64"/>
      <c r="AG16" s="64"/>
      <c r="AH16" s="64"/>
      <c r="AI16" s="64"/>
      <c r="AJ16" s="64"/>
      <c r="AK16" s="64"/>
      <c r="AL16" s="64"/>
      <c r="AM16" s="64"/>
      <c r="AN16" s="64"/>
      <c r="AO16" s="64"/>
      <c r="AP16" s="64"/>
      <c r="AQ16" s="64"/>
      <c r="AR16" s="64"/>
      <c r="AS16" s="64"/>
      <c r="AT16" s="64"/>
      <c r="AU16" s="64"/>
      <c r="AV16" s="64"/>
      <c r="BW16" s="106">
        <v>60</v>
      </c>
      <c r="BX16" s="78">
        <v>1008.6666666666667</v>
      </c>
      <c r="BY16" s="78">
        <v>0.52</v>
      </c>
      <c r="BZ16" s="78">
        <v>0.099</v>
      </c>
      <c r="CA16" s="78">
        <v>0.75</v>
      </c>
      <c r="CB16" s="110">
        <v>89.74</v>
      </c>
      <c r="CC16" s="79"/>
      <c r="CE16" s="106">
        <v>40</v>
      </c>
      <c r="CF16" s="78">
        <v>768.8562666666667</v>
      </c>
      <c r="CG16" s="78">
        <v>0.702</v>
      </c>
      <c r="CH16" s="78">
        <v>0.091</v>
      </c>
      <c r="CI16" s="78">
        <v>1.35</v>
      </c>
      <c r="CJ16" s="110">
        <v>107.2</v>
      </c>
      <c r="CK16" s="79"/>
    </row>
    <row r="17" spans="4:89" s="84" customFormat="1" ht="12.75">
      <c r="D17" s="85"/>
      <c r="E17" s="77"/>
      <c r="F17" s="77"/>
      <c r="G17" s="77"/>
      <c r="H17" s="77"/>
      <c r="I17" s="77"/>
      <c r="J17" s="86"/>
      <c r="K17" s="87" t="s">
        <v>127</v>
      </c>
      <c r="L17" s="87"/>
      <c r="M17" s="87"/>
      <c r="N17" s="87"/>
      <c r="O17" s="87"/>
      <c r="P17" s="87"/>
      <c r="Q17" s="87"/>
      <c r="R17" s="87"/>
      <c r="S17" s="87"/>
      <c r="T17" s="87"/>
      <c r="U17" s="87"/>
      <c r="V17" s="87"/>
      <c r="W17" s="87"/>
      <c r="X17" s="87"/>
      <c r="Y17" s="87"/>
      <c r="Z17" s="87"/>
      <c r="AA17" s="87"/>
      <c r="AB17" s="87"/>
      <c r="AC17" s="87"/>
      <c r="AD17" s="87"/>
      <c r="AE17" s="88"/>
      <c r="AF17" s="88"/>
      <c r="AG17" s="88" t="s">
        <v>128</v>
      </c>
      <c r="AH17" s="88"/>
      <c r="AI17" s="88"/>
      <c r="AJ17" s="88"/>
      <c r="AK17" s="88"/>
      <c r="AL17" s="88" t="s">
        <v>129</v>
      </c>
      <c r="AM17" s="88"/>
      <c r="AN17" s="88"/>
      <c r="AO17" s="88"/>
      <c r="AP17" s="88"/>
      <c r="AQ17" s="88"/>
      <c r="AR17" s="88"/>
      <c r="AS17" s="88"/>
      <c r="AT17" s="88"/>
      <c r="AU17" s="88"/>
      <c r="BW17" s="106">
        <v>80</v>
      </c>
      <c r="BX17" s="78">
        <v>988.6666666666667</v>
      </c>
      <c r="BY17" s="78">
        <v>0.54</v>
      </c>
      <c r="BZ17" s="78">
        <v>0.099</v>
      </c>
      <c r="CA17" s="78">
        <v>0.6</v>
      </c>
      <c r="CB17" s="107"/>
      <c r="CC17" s="79"/>
      <c r="CE17" s="106">
        <v>60</v>
      </c>
      <c r="CF17" s="78">
        <v>752.4973333333334</v>
      </c>
      <c r="CG17" s="78">
        <v>0.76</v>
      </c>
      <c r="CH17" s="78">
        <v>0.09</v>
      </c>
      <c r="CI17" s="78">
        <v>0.87</v>
      </c>
      <c r="CJ17" s="107"/>
      <c r="CK17" s="79"/>
    </row>
    <row r="18" spans="4:89" ht="12.75">
      <c r="D18" s="82"/>
      <c r="E18" s="89" t="s">
        <v>16</v>
      </c>
      <c r="F18" s="61"/>
      <c r="G18" s="89" t="s">
        <v>130</v>
      </c>
      <c r="H18" s="61"/>
      <c r="I18" s="89" t="s">
        <v>22</v>
      </c>
      <c r="J18" s="79" t="s">
        <v>22</v>
      </c>
      <c r="K18" s="90"/>
      <c r="L18" s="90"/>
      <c r="M18" s="90"/>
      <c r="N18" s="90"/>
      <c r="O18" s="91" t="s">
        <v>130</v>
      </c>
      <c r="P18" s="90"/>
      <c r="Q18" s="90" t="s">
        <v>131</v>
      </c>
      <c r="R18" s="90"/>
      <c r="S18" s="90"/>
      <c r="T18" s="90"/>
      <c r="U18" s="90"/>
      <c r="V18" s="90"/>
      <c r="W18" s="90"/>
      <c r="X18" s="90"/>
      <c r="Y18" s="90"/>
      <c r="Z18" s="90"/>
      <c r="AA18" s="90"/>
      <c r="AB18" s="90"/>
      <c r="AC18" s="90"/>
      <c r="AD18" s="90"/>
      <c r="AE18" s="64"/>
      <c r="AF18" s="64"/>
      <c r="AG18" s="92" t="s">
        <v>16</v>
      </c>
      <c r="AI18" s="92" t="s">
        <v>130</v>
      </c>
      <c r="AK18" s="64"/>
      <c r="AL18" s="92" t="s">
        <v>16</v>
      </c>
      <c r="AN18" s="92" t="s">
        <v>130</v>
      </c>
      <c r="AP18" s="64"/>
      <c r="AQ18" s="64"/>
      <c r="AR18" s="64"/>
      <c r="AS18" s="64"/>
      <c r="AT18" s="64"/>
      <c r="AU18" s="64"/>
      <c r="BW18" s="111">
        <v>100</v>
      </c>
      <c r="BX18" s="112">
        <v>968.6666666666667</v>
      </c>
      <c r="BY18" s="112">
        <v>0.56</v>
      </c>
      <c r="BZ18" s="112">
        <v>0.099</v>
      </c>
      <c r="CA18" s="112">
        <v>0.48</v>
      </c>
      <c r="CB18" s="113">
        <v>424.1</v>
      </c>
      <c r="CC18" s="114"/>
      <c r="CE18" s="111">
        <v>80</v>
      </c>
      <c r="CF18" s="112">
        <v>736.1384</v>
      </c>
      <c r="CG18" s="112">
        <v>0.825</v>
      </c>
      <c r="CH18" s="112">
        <v>0.089</v>
      </c>
      <c r="CI18" s="112">
        <v>0.56</v>
      </c>
      <c r="CJ18" s="113">
        <v>690.48</v>
      </c>
      <c r="CK18" s="114"/>
    </row>
    <row r="19" spans="4:56" ht="12.75">
      <c r="D19" s="93" t="s">
        <v>132</v>
      </c>
      <c r="E19" s="89" t="s">
        <v>0</v>
      </c>
      <c r="F19" s="89" t="s">
        <v>133</v>
      </c>
      <c r="G19" s="89" t="s">
        <v>134</v>
      </c>
      <c r="H19" s="89" t="s">
        <v>135</v>
      </c>
      <c r="I19" s="89" t="s">
        <v>136</v>
      </c>
      <c r="J19" s="79"/>
      <c r="K19" s="87" t="s">
        <v>114</v>
      </c>
      <c r="L19" s="94"/>
      <c r="M19" s="91" t="s">
        <v>0</v>
      </c>
      <c r="N19" s="91" t="s">
        <v>133</v>
      </c>
      <c r="O19" s="91" t="s">
        <v>134</v>
      </c>
      <c r="P19" s="91" t="s">
        <v>135</v>
      </c>
      <c r="Q19" s="91" t="s">
        <v>137</v>
      </c>
      <c r="R19" s="91"/>
      <c r="S19" s="91"/>
      <c r="T19" s="91"/>
      <c r="U19" s="91"/>
      <c r="V19" s="91"/>
      <c r="W19" s="91"/>
      <c r="X19" s="91"/>
      <c r="Y19" s="91"/>
      <c r="Z19" s="91"/>
      <c r="AA19" s="91"/>
      <c r="AB19" s="91"/>
      <c r="AC19" s="91"/>
      <c r="AD19" s="91"/>
      <c r="AE19" s="95"/>
      <c r="AF19" s="96" t="s">
        <v>132</v>
      </c>
      <c r="AG19" s="92" t="s">
        <v>0</v>
      </c>
      <c r="AH19" s="92" t="s">
        <v>133</v>
      </c>
      <c r="AI19" s="92" t="s">
        <v>134</v>
      </c>
      <c r="AJ19" s="92" t="s">
        <v>135</v>
      </c>
      <c r="AK19" s="88"/>
      <c r="AL19" s="92" t="s">
        <v>0</v>
      </c>
      <c r="AM19" s="92" t="s">
        <v>133</v>
      </c>
      <c r="AN19" s="92" t="s">
        <v>134</v>
      </c>
      <c r="AO19" s="92" t="s">
        <v>135</v>
      </c>
      <c r="AP19" s="88"/>
      <c r="AQ19" s="88"/>
      <c r="AR19" s="88"/>
      <c r="AS19" s="88"/>
      <c r="AT19" s="88"/>
      <c r="AU19" s="88"/>
      <c r="AV19" s="84"/>
      <c r="AW19" s="84"/>
      <c r="AX19" s="84"/>
      <c r="AY19" s="84"/>
      <c r="AZ19" s="84"/>
      <c r="BA19" s="84"/>
      <c r="BB19" s="84"/>
      <c r="BC19" s="84"/>
      <c r="BD19" s="84"/>
    </row>
    <row r="20" spans="4:89" ht="12.75">
      <c r="D20" s="97" t="str">
        <f>CHOOSE(htfunits_temp,"°F","°C")</f>
        <v>°C</v>
      </c>
      <c r="E20" s="98" t="str">
        <f>CHOOSE(htfunits_sg,"lb/cu.ft.","kg/cu.m.")</f>
        <v>kg/cu.m.</v>
      </c>
      <c r="F20" s="98" t="str">
        <f>CHOOSE(htfunits_heat,"Btu/lb-°F","KJ/kg-°K")</f>
        <v>KJ/kg-°K</v>
      </c>
      <c r="G20" s="98" t="str">
        <f>CHOOSE(htfunits_tc,"Btu/ft-hr-°F","W/m-°K")</f>
        <v>W/m-°K</v>
      </c>
      <c r="H20" s="98" t="str">
        <f>CHOOSE(htfunits_viscosity,"cP","cSt")</f>
        <v>cP</v>
      </c>
      <c r="I20" s="99" t="s">
        <v>103</v>
      </c>
      <c r="J20" s="79"/>
      <c r="K20" s="100" t="s">
        <v>138</v>
      </c>
      <c r="L20" s="100" t="s">
        <v>139</v>
      </c>
      <c r="M20" s="100" t="s">
        <v>140</v>
      </c>
      <c r="N20" s="100" t="s">
        <v>462</v>
      </c>
      <c r="O20" s="100" t="s">
        <v>141</v>
      </c>
      <c r="P20" s="100" t="s">
        <v>142</v>
      </c>
      <c r="Q20" s="101">
        <f>(LOG(I24/I26)*(K22-K24))/(LOG(I22/I24)*(K24-K26))</f>
        <v>0.6663916736612691</v>
      </c>
      <c r="R20" s="102"/>
      <c r="S20" s="102"/>
      <c r="T20" s="102"/>
      <c r="U20" s="102"/>
      <c r="V20" s="102"/>
      <c r="W20" s="102"/>
      <c r="X20" s="102"/>
      <c r="Y20" s="102"/>
      <c r="Z20" s="102"/>
      <c r="AA20" s="102"/>
      <c r="AB20" s="102"/>
      <c r="AC20" s="102"/>
      <c r="AD20" s="102"/>
      <c r="AE20" s="95"/>
      <c r="AF20" s="103" t="s">
        <v>143</v>
      </c>
      <c r="AG20" s="98" t="s">
        <v>140</v>
      </c>
      <c r="AH20" s="98" t="s">
        <v>462</v>
      </c>
      <c r="AI20" s="98" t="s">
        <v>141</v>
      </c>
      <c r="AJ20" s="98" t="s">
        <v>142</v>
      </c>
      <c r="AK20" s="104"/>
      <c r="AL20" s="98" t="str">
        <f>CHOOSE(htfunits_sg,"lb/cu.ft.","kg/cu.m.")</f>
        <v>kg/cu.m.</v>
      </c>
      <c r="AM20" s="98" t="str">
        <f>CHOOSE(htfunits_heat,"Btu/lb-°F","kJ/kg-K")</f>
        <v>kJ/kg-K</v>
      </c>
      <c r="AN20" s="98" t="str">
        <f>CHOOSE(htfunits_tc,"Btu/ft-hr-°F","W/m-K")</f>
        <v>W/m-K</v>
      </c>
      <c r="AO20" s="98" t="str">
        <f>CHOOSE(htfunits_viscosity,"cP","cSt")</f>
        <v>cP</v>
      </c>
      <c r="AP20" s="88"/>
      <c r="AQ20" s="88"/>
      <c r="AR20" s="88"/>
      <c r="AS20" s="88"/>
      <c r="AT20" s="88"/>
      <c r="AU20" s="88"/>
      <c r="AV20" s="84"/>
      <c r="AW20" s="84"/>
      <c r="AX20" s="84"/>
      <c r="AY20" s="84"/>
      <c r="AZ20" s="84"/>
      <c r="BA20" s="84"/>
      <c r="BB20" s="84"/>
      <c r="BC20" s="84"/>
      <c r="BD20" s="84"/>
      <c r="BW20" s="71" t="s">
        <v>116</v>
      </c>
      <c r="BX20" s="72"/>
      <c r="BY20" s="73" t="s">
        <v>99</v>
      </c>
      <c r="BZ20" s="72"/>
      <c r="CA20" s="74" t="str">
        <f>IF(ISNA(VLOOKUP(BY20,HTF_properties,1,FALSE)),"","&lt;-- Already in the database")</f>
        <v>&lt;-- Already in the database</v>
      </c>
      <c r="CB20" s="58"/>
      <c r="CC20" s="75"/>
      <c r="CE20" s="71" t="s">
        <v>116</v>
      </c>
      <c r="CF20" s="72"/>
      <c r="CG20" s="73" t="s">
        <v>467</v>
      </c>
      <c r="CH20" s="72"/>
      <c r="CI20" s="74" t="str">
        <f>IF(ISNA(VLOOKUP(CG20,HTF_properties,1,FALSE)),"","&lt;-- Already in the database")</f>
        <v>&lt;-- Already in the database</v>
      </c>
      <c r="CJ20" s="58"/>
      <c r="CK20" s="75"/>
    </row>
    <row r="21" spans="3:89" ht="12.75">
      <c r="C21" s="105" t="s">
        <v>144</v>
      </c>
      <c r="D21" s="106">
        <v>-20</v>
      </c>
      <c r="E21" s="78">
        <v>732.519128169923</v>
      </c>
      <c r="F21" s="78">
        <v>2.128493789555656</v>
      </c>
      <c r="G21" s="78">
        <v>0.14198014282597501</v>
      </c>
      <c r="H21" s="78">
        <v>1.0076474559080861</v>
      </c>
      <c r="I21" s="107">
        <v>0.6793615597453583</v>
      </c>
      <c r="J21" s="79"/>
      <c r="K21" s="378">
        <f aca="true" t="shared" si="0" ref="K21:K26">CHOOSE(htfunits_temp,(D21-32)/1.8,D21)</f>
        <v>-20</v>
      </c>
      <c r="L21" s="87">
        <f aca="true" t="shared" si="1" ref="L21:L26">K21+273.15</f>
        <v>253.14999999999998</v>
      </c>
      <c r="M21" s="87">
        <f aca="true" t="shared" si="2" ref="M21:M26">CHOOSE(htfunits_sg,E21*16.01846,E21)</f>
        <v>732.519128169923</v>
      </c>
      <c r="N21" s="87">
        <f aca="true" t="shared" si="3" ref="N21:N26">CHOOSE(htfunits_heat,F21*4.1868,F21)</f>
        <v>2.128493789555656</v>
      </c>
      <c r="O21" s="87">
        <f aca="true" t="shared" si="4" ref="O21:O26">CHOOSE(htfunits_tc,G21*1.730735,G21)</f>
        <v>0.14198014282597501</v>
      </c>
      <c r="P21" s="108">
        <f aca="true" t="shared" si="5" ref="P21:P26">CHOOSE(htfunits_viscosity,H21,H21*M21/1000)</f>
        <v>1.0076474559080861</v>
      </c>
      <c r="Q21" s="87"/>
      <c r="R21" s="87"/>
      <c r="S21" s="87"/>
      <c r="T21" s="87"/>
      <c r="U21" s="87"/>
      <c r="V21" s="87"/>
      <c r="W21" s="87"/>
      <c r="X21" s="87"/>
      <c r="Y21" s="87"/>
      <c r="Z21" s="87"/>
      <c r="AA21" s="87"/>
      <c r="AB21" s="87"/>
      <c r="AC21" s="87"/>
      <c r="AD21" s="87"/>
      <c r="AE21" s="88"/>
      <c r="AF21" s="88">
        <f aca="true" t="shared" si="6" ref="AF21:AF26">K21</f>
        <v>-20</v>
      </c>
      <c r="AG21" s="88">
        <f aca="true" t="shared" si="7" ref="AG21:AG26">$M$54*$AF21+$N$54</f>
        <v>734.9717223150207</v>
      </c>
      <c r="AH21" s="88">
        <f aca="true" t="shared" si="8" ref="AH21:AH26">$Q$54*$AF21+$R$54</f>
        <v>2.108818005838237</v>
      </c>
      <c r="AI21" s="88">
        <f aca="true" t="shared" si="9" ref="AI21:AI26">$O$54*$AF21+$P$54</f>
        <v>0.14262475615930834</v>
      </c>
      <c r="AJ21" s="64">
        <f aca="true" t="shared" si="10" ref="AJ21:AJ26">EXP(J$54+K$54/(L21+L$54))</f>
        <v>0.896327287599943</v>
      </c>
      <c r="AK21" s="109"/>
      <c r="AL21" s="88">
        <f aca="true" t="shared" si="11" ref="AL21:AL26">CHOOSE(htfunits_sg,AG21/16.01846,AG21)</f>
        <v>734.9717223150207</v>
      </c>
      <c r="AM21" s="88">
        <f aca="true" t="shared" si="12" ref="AM21:AM26">CHOOSE(htfunits_heat,AH21/4.1868,AH21)</f>
        <v>2.108818005838237</v>
      </c>
      <c r="AN21" s="88">
        <f aca="true" t="shared" si="13" ref="AN21:AN26">CHOOSE(htfunits_tc,AI21/1.730735,AI21)</f>
        <v>0.14262475615930834</v>
      </c>
      <c r="AO21" s="64">
        <f aca="true" t="shared" si="14" ref="AO21:AO26">CHOOSE(htfunits_viscosity,AJ21,AJ21/M21*1000)</f>
        <v>0.896327287599943</v>
      </c>
      <c r="AP21" s="88"/>
      <c r="AQ21" s="88"/>
      <c r="AR21" s="88"/>
      <c r="AS21" s="88"/>
      <c r="AT21" s="88"/>
      <c r="AU21" s="88"/>
      <c r="AV21" s="84"/>
      <c r="AW21" s="84"/>
      <c r="AX21" s="84"/>
      <c r="AY21" s="84"/>
      <c r="AZ21" s="84"/>
      <c r="BA21" s="84"/>
      <c r="BB21" s="84"/>
      <c r="BC21" s="84"/>
      <c r="BD21" s="84"/>
      <c r="BW21" s="76" t="s">
        <v>118</v>
      </c>
      <c r="BX21" s="77"/>
      <c r="BY21" s="78"/>
      <c r="BZ21" s="77"/>
      <c r="CA21" s="61"/>
      <c r="CB21" s="61"/>
      <c r="CC21" s="79"/>
      <c r="CE21" s="76" t="s">
        <v>118</v>
      </c>
      <c r="CF21" s="77"/>
      <c r="CG21" s="78"/>
      <c r="CH21" s="77"/>
      <c r="CI21" s="61"/>
      <c r="CJ21" s="61"/>
      <c r="CK21" s="79"/>
    </row>
    <row r="22" spans="3:89" ht="12.75">
      <c r="C22" s="84"/>
      <c r="D22" s="106">
        <v>20</v>
      </c>
      <c r="E22" s="78">
        <v>702.5186185803447</v>
      </c>
      <c r="F22" s="78">
        <v>2.2182231955936844</v>
      </c>
      <c r="G22" s="78">
        <v>0.130534116945975</v>
      </c>
      <c r="H22" s="78">
        <v>0.5591451571434347</v>
      </c>
      <c r="I22" s="110">
        <v>10.579141944556135</v>
      </c>
      <c r="J22" s="79"/>
      <c r="K22" s="378">
        <f t="shared" si="0"/>
        <v>20</v>
      </c>
      <c r="L22" s="87">
        <f t="shared" si="1"/>
        <v>293.15</v>
      </c>
      <c r="M22" s="87">
        <f t="shared" si="2"/>
        <v>702.5186185803447</v>
      </c>
      <c r="N22" s="87">
        <f t="shared" si="3"/>
        <v>2.2182231955936844</v>
      </c>
      <c r="O22" s="87">
        <f t="shared" si="4"/>
        <v>0.130534116945975</v>
      </c>
      <c r="P22" s="108">
        <f t="shared" si="5"/>
        <v>0.5591451571434347</v>
      </c>
      <c r="Q22" s="87"/>
      <c r="R22" s="87"/>
      <c r="S22" s="87"/>
      <c r="T22" s="87"/>
      <c r="U22" s="87"/>
      <c r="V22" s="87"/>
      <c r="W22" s="87"/>
      <c r="X22" s="87"/>
      <c r="Y22" s="87"/>
      <c r="Z22" s="87"/>
      <c r="AA22" s="87"/>
      <c r="AB22" s="87"/>
      <c r="AC22" s="87"/>
      <c r="AD22" s="87"/>
      <c r="AE22" s="88"/>
      <c r="AF22" s="88">
        <f t="shared" si="6"/>
        <v>20</v>
      </c>
      <c r="AG22" s="88">
        <f t="shared" si="7"/>
        <v>701.4944178643619</v>
      </c>
      <c r="AH22" s="88">
        <f t="shared" si="8"/>
        <v>2.2233757771600917</v>
      </c>
      <c r="AI22" s="88">
        <f t="shared" si="9"/>
        <v>0.1302118102793083</v>
      </c>
      <c r="AJ22" s="64">
        <f t="shared" si="10"/>
        <v>0.5591451571434338</v>
      </c>
      <c r="AK22" s="109"/>
      <c r="AL22" s="88">
        <f t="shared" si="11"/>
        <v>701.4944178643619</v>
      </c>
      <c r="AM22" s="88">
        <f t="shared" si="12"/>
        <v>2.2233757771600917</v>
      </c>
      <c r="AN22" s="88">
        <f t="shared" si="13"/>
        <v>0.1302118102793083</v>
      </c>
      <c r="AO22" s="64">
        <f t="shared" si="14"/>
        <v>0.5591451571434338</v>
      </c>
      <c r="AP22" s="88"/>
      <c r="AQ22" s="88"/>
      <c r="AR22" s="88"/>
      <c r="AS22" s="88"/>
      <c r="AT22" s="88"/>
      <c r="AU22" s="88"/>
      <c r="AV22" s="84"/>
      <c r="AW22" s="84"/>
      <c r="AX22" s="84"/>
      <c r="AY22" s="84"/>
      <c r="AZ22" s="84"/>
      <c r="BA22" s="84"/>
      <c r="BB22" s="84"/>
      <c r="BC22" s="84"/>
      <c r="BD22" s="84"/>
      <c r="BW22" s="76" t="s">
        <v>120</v>
      </c>
      <c r="BX22" s="77"/>
      <c r="BY22" s="78"/>
      <c r="BZ22" s="77"/>
      <c r="CA22" s="61"/>
      <c r="CB22" s="61" t="s">
        <v>108</v>
      </c>
      <c r="CC22" s="81">
        <v>1100</v>
      </c>
      <c r="CE22" s="76" t="s">
        <v>120</v>
      </c>
      <c r="CF22" s="77"/>
      <c r="CG22" s="78" t="s">
        <v>469</v>
      </c>
      <c r="CH22" s="77"/>
      <c r="CI22" s="61"/>
      <c r="CJ22" s="61" t="s">
        <v>108</v>
      </c>
      <c r="CK22" s="81">
        <v>663</v>
      </c>
    </row>
    <row r="23" spans="3:89" ht="12.75">
      <c r="C23" s="84"/>
      <c r="D23" s="106">
        <v>60</v>
      </c>
      <c r="E23" s="78">
        <v>670.5873998047717</v>
      </c>
      <c r="F23" s="78">
        <v>2.3152483235986043</v>
      </c>
      <c r="G23" s="78">
        <v>0.11844908306597503</v>
      </c>
      <c r="H23" s="78">
        <v>0.36574699327658383</v>
      </c>
      <c r="I23" s="107">
        <v>77.80815537731706</v>
      </c>
      <c r="J23" s="79"/>
      <c r="K23" s="378">
        <f t="shared" si="0"/>
        <v>60</v>
      </c>
      <c r="L23" s="87">
        <f t="shared" si="1"/>
        <v>333.15</v>
      </c>
      <c r="M23" s="87">
        <f t="shared" si="2"/>
        <v>670.5873998047717</v>
      </c>
      <c r="N23" s="87">
        <f t="shared" si="3"/>
        <v>2.3152483235986043</v>
      </c>
      <c r="O23" s="87">
        <f t="shared" si="4"/>
        <v>0.11844908306597503</v>
      </c>
      <c r="P23" s="108">
        <f t="shared" si="5"/>
        <v>0.36574699327658383</v>
      </c>
      <c r="Q23" s="87"/>
      <c r="R23" s="87"/>
      <c r="S23" s="87"/>
      <c r="T23" s="87"/>
      <c r="U23" s="87"/>
      <c r="V23" s="87"/>
      <c r="W23" s="87"/>
      <c r="X23" s="87"/>
      <c r="Y23" s="87"/>
      <c r="Z23" s="87"/>
      <c r="AA23" s="87"/>
      <c r="AB23" s="87"/>
      <c r="AC23" s="87"/>
      <c r="AD23" s="87"/>
      <c r="AE23" s="88"/>
      <c r="AF23" s="88">
        <f t="shared" si="6"/>
        <v>60</v>
      </c>
      <c r="AG23" s="88">
        <f t="shared" si="7"/>
        <v>668.0171134137031</v>
      </c>
      <c r="AH23" s="88">
        <f t="shared" si="8"/>
        <v>2.337933548481947</v>
      </c>
      <c r="AI23" s="88">
        <f t="shared" si="9"/>
        <v>0.11779886439930833</v>
      </c>
      <c r="AJ23" s="64">
        <f t="shared" si="10"/>
        <v>0.3710737810485811</v>
      </c>
      <c r="AK23" s="109"/>
      <c r="AL23" s="88">
        <f t="shared" si="11"/>
        <v>668.0171134137031</v>
      </c>
      <c r="AM23" s="88">
        <f t="shared" si="12"/>
        <v>2.337933548481947</v>
      </c>
      <c r="AN23" s="88">
        <f t="shared" si="13"/>
        <v>0.11779886439930833</v>
      </c>
      <c r="AO23" s="64">
        <f t="shared" si="14"/>
        <v>0.3710737810485811</v>
      </c>
      <c r="AP23" s="88"/>
      <c r="AQ23" s="88"/>
      <c r="AR23" s="88"/>
      <c r="AS23" s="88"/>
      <c r="AT23" s="88"/>
      <c r="AU23" s="88"/>
      <c r="AV23" s="84"/>
      <c r="AW23" s="84"/>
      <c r="AX23" s="84"/>
      <c r="AY23" s="84"/>
      <c r="AZ23" s="84"/>
      <c r="BA23" s="84"/>
      <c r="BB23" s="84"/>
      <c r="BC23" s="84"/>
      <c r="BD23" s="84"/>
      <c r="BW23" s="76" t="s">
        <v>122</v>
      </c>
      <c r="BX23" s="77"/>
      <c r="BY23" s="78"/>
      <c r="BZ23" s="80" t="str">
        <f>CHOOSE(htfunits_temp,"°F minimum","°C minimum")</f>
        <v>°C minimum</v>
      </c>
      <c r="CA23" s="61"/>
      <c r="CB23" s="61" t="s">
        <v>123</v>
      </c>
      <c r="CC23" s="81">
        <v>12</v>
      </c>
      <c r="CE23" s="76" t="s">
        <v>122</v>
      </c>
      <c r="CF23" s="77"/>
      <c r="CG23" s="78"/>
      <c r="CH23" s="80" t="str">
        <f>CHOOSE(htfunits_temp,"°F minimum","°C minimum")</f>
        <v>°C minimum</v>
      </c>
      <c r="CI23" s="61"/>
      <c r="CJ23" s="61" t="s">
        <v>123</v>
      </c>
      <c r="CK23" s="81">
        <v>160</v>
      </c>
    </row>
    <row r="24" spans="3:89" ht="12.75">
      <c r="C24" s="84"/>
      <c r="D24" s="106">
        <v>100</v>
      </c>
      <c r="E24" s="78">
        <v>636.1610249273693</v>
      </c>
      <c r="F24" s="78">
        <v>2.435186874544758</v>
      </c>
      <c r="G24" s="78">
        <v>0.105725041185975</v>
      </c>
      <c r="H24" s="78">
        <v>0.25900709355297696</v>
      </c>
      <c r="I24" s="110">
        <v>349.69370529031386</v>
      </c>
      <c r="J24" s="79"/>
      <c r="K24" s="378">
        <f t="shared" si="0"/>
        <v>100</v>
      </c>
      <c r="L24" s="87">
        <f t="shared" si="1"/>
        <v>373.15</v>
      </c>
      <c r="M24" s="87">
        <f t="shared" si="2"/>
        <v>636.1610249273693</v>
      </c>
      <c r="N24" s="87">
        <f t="shared" si="3"/>
        <v>2.435186874544758</v>
      </c>
      <c r="O24" s="87">
        <f t="shared" si="4"/>
        <v>0.105725041185975</v>
      </c>
      <c r="P24" s="108">
        <f t="shared" si="5"/>
        <v>0.25900709355297696</v>
      </c>
      <c r="Q24" s="87">
        <f>(LN(P24/P26)*(L22-L24))/(LN(P22/P24)*(L24-L26))</f>
        <v>0.8260863488194587</v>
      </c>
      <c r="R24" s="87"/>
      <c r="S24" s="87"/>
      <c r="T24" s="87"/>
      <c r="U24" s="87"/>
      <c r="V24" s="87"/>
      <c r="W24" s="87"/>
      <c r="X24" s="87"/>
      <c r="Y24" s="87"/>
      <c r="Z24" s="87"/>
      <c r="AA24" s="87"/>
      <c r="AB24" s="87"/>
      <c r="AC24" s="87"/>
      <c r="AD24" s="87"/>
      <c r="AE24" s="88"/>
      <c r="AF24" s="88">
        <f t="shared" si="6"/>
        <v>100</v>
      </c>
      <c r="AG24" s="88">
        <f t="shared" si="7"/>
        <v>634.5398089630444</v>
      </c>
      <c r="AH24" s="88">
        <f t="shared" si="8"/>
        <v>2.4524913198038023</v>
      </c>
      <c r="AI24" s="88">
        <f t="shared" si="9"/>
        <v>0.10538591851930831</v>
      </c>
      <c r="AJ24" s="64">
        <f t="shared" si="10"/>
        <v>0.2590070935529769</v>
      </c>
      <c r="AK24" s="109"/>
      <c r="AL24" s="88">
        <f t="shared" si="11"/>
        <v>634.5398089630444</v>
      </c>
      <c r="AM24" s="88">
        <f t="shared" si="12"/>
        <v>2.4524913198038023</v>
      </c>
      <c r="AN24" s="88">
        <f t="shared" si="13"/>
        <v>0.10538591851930831</v>
      </c>
      <c r="AO24" s="64">
        <f t="shared" si="14"/>
        <v>0.2590070935529769</v>
      </c>
      <c r="AP24" s="88"/>
      <c r="AQ24" s="88"/>
      <c r="AR24" s="88"/>
      <c r="AS24" s="88"/>
      <c r="AT24" s="88"/>
      <c r="AU24" s="88"/>
      <c r="AV24" s="84"/>
      <c r="AW24" s="84"/>
      <c r="AX24" s="84"/>
      <c r="AY24" s="84"/>
      <c r="AZ24" s="84"/>
      <c r="BA24" s="84"/>
      <c r="BB24" s="84"/>
      <c r="BC24" s="84"/>
      <c r="BD24" s="84"/>
      <c r="BW24" s="76"/>
      <c r="BX24" s="77"/>
      <c r="BY24" s="78"/>
      <c r="BZ24" s="80" t="str">
        <f>CHOOSE(htfunits_temp,"°F maximum","°C maximum")</f>
        <v>°C maximum</v>
      </c>
      <c r="CA24" s="61"/>
      <c r="CB24" s="61" t="s">
        <v>124</v>
      </c>
      <c r="CC24" s="81">
        <v>64.7</v>
      </c>
      <c r="CE24" s="76"/>
      <c r="CF24" s="77"/>
      <c r="CG24" s="78"/>
      <c r="CH24" s="80" t="str">
        <f>CHOOSE(htfunits_temp,"°F maximum","°C maximum")</f>
        <v>°C maximum</v>
      </c>
      <c r="CI24" s="61"/>
      <c r="CJ24" s="61" t="s">
        <v>124</v>
      </c>
      <c r="CK24" s="81">
        <v>290</v>
      </c>
    </row>
    <row r="25" spans="3:89" ht="12.75">
      <c r="C25" s="84"/>
      <c r="D25" s="106">
        <v>120</v>
      </c>
      <c r="E25" s="78">
        <v>617.7531281096738</v>
      </c>
      <c r="F25" s="78">
        <v>2.508629215175278</v>
      </c>
      <c r="G25" s="78">
        <v>0.09912339224597501</v>
      </c>
      <c r="H25" s="78">
        <v>0.2207328318992633</v>
      </c>
      <c r="I25" s="107">
        <v>648.6166318070453</v>
      </c>
      <c r="J25" s="79"/>
      <c r="K25" s="378">
        <f t="shared" si="0"/>
        <v>120</v>
      </c>
      <c r="L25" s="87">
        <f t="shared" si="1"/>
        <v>393.15</v>
      </c>
      <c r="M25" s="87">
        <f t="shared" si="2"/>
        <v>617.7531281096738</v>
      </c>
      <c r="N25" s="87">
        <f t="shared" si="3"/>
        <v>2.508629215175278</v>
      </c>
      <c r="O25" s="87">
        <f t="shared" si="4"/>
        <v>0.09912339224597501</v>
      </c>
      <c r="P25" s="108">
        <f t="shared" si="5"/>
        <v>0.2207328318992633</v>
      </c>
      <c r="Q25" s="87"/>
      <c r="R25" s="87"/>
      <c r="S25" s="87"/>
      <c r="T25" s="87"/>
      <c r="U25" s="87"/>
      <c r="V25" s="87"/>
      <c r="W25" s="87"/>
      <c r="X25" s="87"/>
      <c r="Y25" s="87"/>
      <c r="Z25" s="87"/>
      <c r="AA25" s="87"/>
      <c r="AB25" s="87"/>
      <c r="AC25" s="87"/>
      <c r="AD25" s="87"/>
      <c r="AE25" s="88"/>
      <c r="AF25" s="88">
        <f t="shared" si="6"/>
        <v>120</v>
      </c>
      <c r="AG25" s="88">
        <f t="shared" si="7"/>
        <v>617.8011567377149</v>
      </c>
      <c r="AH25" s="88">
        <f t="shared" si="8"/>
        <v>2.5097702054647297</v>
      </c>
      <c r="AI25" s="88">
        <f t="shared" si="9"/>
        <v>0.09917944557930833</v>
      </c>
      <c r="AJ25" s="64">
        <f t="shared" si="10"/>
        <v>0.21990196339649157</v>
      </c>
      <c r="AK25" s="109"/>
      <c r="AL25" s="88">
        <f t="shared" si="11"/>
        <v>617.8011567377149</v>
      </c>
      <c r="AM25" s="88">
        <f t="shared" si="12"/>
        <v>2.5097702054647297</v>
      </c>
      <c r="AN25" s="88">
        <f t="shared" si="13"/>
        <v>0.09917944557930833</v>
      </c>
      <c r="AO25" s="64">
        <f t="shared" si="14"/>
        <v>0.21990196339649157</v>
      </c>
      <c r="AP25" s="88"/>
      <c r="AQ25" s="88"/>
      <c r="AR25" s="88"/>
      <c r="AS25" s="88"/>
      <c r="AT25" s="88"/>
      <c r="AU25" s="88"/>
      <c r="AV25" s="84"/>
      <c r="AW25" s="84"/>
      <c r="AX25" s="84"/>
      <c r="AY25" s="84"/>
      <c r="AZ25" s="84"/>
      <c r="BA25" s="84"/>
      <c r="BB25" s="84"/>
      <c r="BC25" s="84"/>
      <c r="BD25" s="84"/>
      <c r="BE25" s="84"/>
      <c r="BF25" s="84"/>
      <c r="BG25" s="84"/>
      <c r="BH25" s="84"/>
      <c r="BI25" s="84"/>
      <c r="BJ25" s="84"/>
      <c r="BK25" s="84"/>
      <c r="BL25" s="84"/>
      <c r="BW25" s="82" t="s">
        <v>125</v>
      </c>
      <c r="BX25" s="61"/>
      <c r="BY25" s="83"/>
      <c r="BZ25" s="61"/>
      <c r="CA25" s="61"/>
      <c r="CB25" s="61" t="s">
        <v>456</v>
      </c>
      <c r="CC25" s="81">
        <v>32.04</v>
      </c>
      <c r="CE25" s="82" t="s">
        <v>125</v>
      </c>
      <c r="CF25" s="61"/>
      <c r="CG25" s="83" t="s">
        <v>470</v>
      </c>
      <c r="CH25" s="61"/>
      <c r="CI25" s="61"/>
      <c r="CJ25" s="61" t="s">
        <v>456</v>
      </c>
      <c r="CK25" s="81">
        <v>92.1</v>
      </c>
    </row>
    <row r="26" spans="3:89" ht="12.75">
      <c r="C26" s="84"/>
      <c r="D26" s="111">
        <v>140</v>
      </c>
      <c r="E26" s="112">
        <v>598.3474242141475</v>
      </c>
      <c r="F26" s="112">
        <v>2.593656549406484</v>
      </c>
      <c r="G26" s="112">
        <v>0.092361991305975</v>
      </c>
      <c r="H26" s="112">
        <v>0.18848087857265342</v>
      </c>
      <c r="I26" s="113">
        <v>1121.7378696559106</v>
      </c>
      <c r="J26" s="114"/>
      <c r="K26" s="378">
        <f t="shared" si="0"/>
        <v>140</v>
      </c>
      <c r="L26" s="87">
        <f t="shared" si="1"/>
        <v>413.15</v>
      </c>
      <c r="M26" s="87">
        <f t="shared" si="2"/>
        <v>598.3474242141475</v>
      </c>
      <c r="N26" s="87">
        <f t="shared" si="3"/>
        <v>2.593656549406484</v>
      </c>
      <c r="O26" s="87">
        <f t="shared" si="4"/>
        <v>0.092361991305975</v>
      </c>
      <c r="P26" s="108">
        <f t="shared" si="5"/>
        <v>0.18848087857265342</v>
      </c>
      <c r="Q26" s="87"/>
      <c r="R26" s="87"/>
      <c r="S26" s="87"/>
      <c r="T26" s="87"/>
      <c r="U26" s="87"/>
      <c r="V26" s="87"/>
      <c r="W26" s="87"/>
      <c r="X26" s="87"/>
      <c r="Y26" s="87"/>
      <c r="Z26" s="87"/>
      <c r="AA26" s="87"/>
      <c r="AB26" s="87"/>
      <c r="AC26" s="87"/>
      <c r="AD26" s="87"/>
      <c r="AE26" s="88"/>
      <c r="AF26" s="88">
        <f t="shared" si="6"/>
        <v>140</v>
      </c>
      <c r="AG26" s="88">
        <f t="shared" si="7"/>
        <v>601.0625045123855</v>
      </c>
      <c r="AH26" s="88">
        <f t="shared" si="8"/>
        <v>2.567049091125657</v>
      </c>
      <c r="AI26" s="88">
        <f t="shared" si="9"/>
        <v>0.09297297263930832</v>
      </c>
      <c r="AJ26" s="64">
        <f t="shared" si="10"/>
        <v>0.18848087857265355</v>
      </c>
      <c r="AK26" s="109"/>
      <c r="AL26" s="88">
        <f t="shared" si="11"/>
        <v>601.0625045123855</v>
      </c>
      <c r="AM26" s="88">
        <f t="shared" si="12"/>
        <v>2.567049091125657</v>
      </c>
      <c r="AN26" s="88">
        <f t="shared" si="13"/>
        <v>0.09297297263930832</v>
      </c>
      <c r="AO26" s="64">
        <f t="shared" si="14"/>
        <v>0.18848087857265355</v>
      </c>
      <c r="AP26" s="88"/>
      <c r="AQ26" s="88"/>
      <c r="AR26" s="88"/>
      <c r="AS26" s="88"/>
      <c r="AT26" s="88"/>
      <c r="AU26" s="88"/>
      <c r="AV26" s="84"/>
      <c r="AW26" s="84"/>
      <c r="AX26" s="84"/>
      <c r="AY26" s="84"/>
      <c r="AZ26" s="84"/>
      <c r="BA26" s="84"/>
      <c r="BB26" s="84"/>
      <c r="BC26" s="84"/>
      <c r="BD26" s="84"/>
      <c r="BE26" s="84"/>
      <c r="BF26" s="84"/>
      <c r="BG26" s="84"/>
      <c r="BH26" s="84"/>
      <c r="BI26" s="84"/>
      <c r="BJ26" s="84"/>
      <c r="BK26" s="84"/>
      <c r="BL26" s="84"/>
      <c r="BW26" s="85"/>
      <c r="BX26" s="77"/>
      <c r="BY26" s="77"/>
      <c r="BZ26" s="77"/>
      <c r="CA26" s="77"/>
      <c r="CB26" s="77"/>
      <c r="CC26" s="86"/>
      <c r="CE26" s="85"/>
      <c r="CF26" s="77"/>
      <c r="CG26" s="77"/>
      <c r="CH26" s="77"/>
      <c r="CI26" s="77"/>
      <c r="CJ26" s="77"/>
      <c r="CK26" s="86"/>
    </row>
    <row r="27" spans="3:89" ht="12.75">
      <c r="C27" s="84"/>
      <c r="D27" s="115"/>
      <c r="E27" s="115"/>
      <c r="F27" s="115"/>
      <c r="G27" s="115"/>
      <c r="H27" s="115"/>
      <c r="K27" s="87"/>
      <c r="L27" s="87"/>
      <c r="M27" s="87"/>
      <c r="N27" s="87"/>
      <c r="O27" s="87"/>
      <c r="P27" s="108"/>
      <c r="Q27" s="87"/>
      <c r="R27" s="87"/>
      <c r="S27" s="87"/>
      <c r="T27" s="87"/>
      <c r="U27" s="87"/>
      <c r="V27" s="87"/>
      <c r="W27" s="87"/>
      <c r="X27" s="87"/>
      <c r="Y27" s="87"/>
      <c r="Z27" s="87"/>
      <c r="AA27" s="87"/>
      <c r="AB27" s="87"/>
      <c r="AC27" s="87"/>
      <c r="AD27" s="87"/>
      <c r="AE27" s="88"/>
      <c r="AF27" s="88"/>
      <c r="AG27" s="88"/>
      <c r="AH27" s="64"/>
      <c r="AI27" s="88"/>
      <c r="AJ27" s="64"/>
      <c r="AK27" s="64"/>
      <c r="AL27" s="88"/>
      <c r="AM27" s="88"/>
      <c r="AN27" s="88"/>
      <c r="AO27" s="64"/>
      <c r="AP27" s="88"/>
      <c r="AQ27" s="88"/>
      <c r="AR27" s="88"/>
      <c r="AS27" s="88"/>
      <c r="AT27" s="88"/>
      <c r="AU27" s="88"/>
      <c r="AV27" s="84"/>
      <c r="AW27" s="84"/>
      <c r="AX27" s="84"/>
      <c r="AY27" s="84"/>
      <c r="AZ27" s="84"/>
      <c r="BA27" s="84"/>
      <c r="BB27" s="84"/>
      <c r="BC27" s="84"/>
      <c r="BD27" s="84"/>
      <c r="BE27" s="84"/>
      <c r="BF27" s="84"/>
      <c r="BG27" s="84"/>
      <c r="BH27" s="84"/>
      <c r="BI27" s="84"/>
      <c r="BJ27" s="84"/>
      <c r="BK27" s="84"/>
      <c r="BL27" s="84"/>
      <c r="BW27" s="82"/>
      <c r="BX27" s="89" t="s">
        <v>16</v>
      </c>
      <c r="BY27" s="61"/>
      <c r="BZ27" s="89" t="s">
        <v>130</v>
      </c>
      <c r="CA27" s="61"/>
      <c r="CB27" s="89" t="s">
        <v>22</v>
      </c>
      <c r="CC27" s="79"/>
      <c r="CE27" s="82"/>
      <c r="CF27" s="89" t="s">
        <v>16</v>
      </c>
      <c r="CG27" s="61"/>
      <c r="CH27" s="89" t="s">
        <v>130</v>
      </c>
      <c r="CI27" s="61"/>
      <c r="CJ27" s="89" t="s">
        <v>22</v>
      </c>
      <c r="CK27" s="79"/>
    </row>
    <row r="28" spans="3:89" ht="12.75">
      <c r="C28" s="84"/>
      <c r="D28" s="115"/>
      <c r="E28" s="115"/>
      <c r="F28" s="115"/>
      <c r="G28" s="115"/>
      <c r="I28" s="115"/>
      <c r="K28" s="87"/>
      <c r="L28" s="87"/>
      <c r="M28" s="87"/>
      <c r="N28" s="87"/>
      <c r="O28" s="87"/>
      <c r="P28" s="108"/>
      <c r="Q28" s="87"/>
      <c r="R28" s="88"/>
      <c r="S28" s="88"/>
      <c r="T28" s="88"/>
      <c r="U28" s="88"/>
      <c r="V28" s="88"/>
      <c r="W28" s="88"/>
      <c r="X28" s="88"/>
      <c r="Y28" s="88"/>
      <c r="Z28" s="88"/>
      <c r="AA28" s="88"/>
      <c r="AB28" s="88"/>
      <c r="AI28" s="88"/>
      <c r="AJ28" s="88"/>
      <c r="AK28" s="64"/>
      <c r="AL28" s="88"/>
      <c r="AM28" s="88"/>
      <c r="AN28" s="88"/>
      <c r="AO28" s="88"/>
      <c r="AP28" s="88"/>
      <c r="AQ28" s="88"/>
      <c r="AR28" s="84"/>
      <c r="AS28" s="84"/>
      <c r="AT28" s="84"/>
      <c r="AU28" s="84"/>
      <c r="AV28" s="84"/>
      <c r="AW28" s="84"/>
      <c r="AX28" s="84"/>
      <c r="AY28" s="84"/>
      <c r="AZ28" s="84"/>
      <c r="BA28" s="84"/>
      <c r="BB28" s="84"/>
      <c r="BC28" s="84"/>
      <c r="BD28" s="84"/>
      <c r="BE28" s="84"/>
      <c r="BF28" s="84"/>
      <c r="BG28" s="84"/>
      <c r="BH28" s="84"/>
      <c r="BW28" s="93" t="s">
        <v>132</v>
      </c>
      <c r="BX28" s="89" t="s">
        <v>0</v>
      </c>
      <c r="BY28" s="89" t="s">
        <v>133</v>
      </c>
      <c r="BZ28" s="89" t="s">
        <v>134</v>
      </c>
      <c r="CA28" s="89" t="s">
        <v>135</v>
      </c>
      <c r="CB28" s="89" t="s">
        <v>136</v>
      </c>
      <c r="CC28" s="79"/>
      <c r="CE28" s="93" t="s">
        <v>132</v>
      </c>
      <c r="CF28" s="89" t="s">
        <v>0</v>
      </c>
      <c r="CG28" s="89" t="s">
        <v>133</v>
      </c>
      <c r="CH28" s="89" t="s">
        <v>134</v>
      </c>
      <c r="CI28" s="89" t="s">
        <v>135</v>
      </c>
      <c r="CJ28" s="89" t="s">
        <v>136</v>
      </c>
      <c r="CK28" s="79"/>
    </row>
    <row r="29" spans="3:89" ht="12.75">
      <c r="C29" s="84"/>
      <c r="D29" s="115"/>
      <c r="E29" s="115"/>
      <c r="F29" s="115"/>
      <c r="G29" s="115"/>
      <c r="H29" s="116"/>
      <c r="I29" s="116"/>
      <c r="J29" s="116"/>
      <c r="K29" s="87"/>
      <c r="L29" s="87"/>
      <c r="M29" s="87"/>
      <c r="N29" s="87"/>
      <c r="O29" s="87"/>
      <c r="P29" s="108"/>
      <c r="Q29" s="87"/>
      <c r="R29" s="88"/>
      <c r="S29" s="88"/>
      <c r="T29" s="88"/>
      <c r="U29" s="88"/>
      <c r="V29" s="88"/>
      <c r="W29" s="88"/>
      <c r="X29" s="88"/>
      <c r="Y29" s="88"/>
      <c r="Z29" s="88"/>
      <c r="AA29" s="88"/>
      <c r="AB29" s="88"/>
      <c r="AI29" s="88"/>
      <c r="AJ29" s="88"/>
      <c r="AK29" s="88"/>
      <c r="AL29" s="64"/>
      <c r="AM29" s="88"/>
      <c r="AN29" s="88"/>
      <c r="AO29" s="88"/>
      <c r="AP29" s="88"/>
      <c r="AQ29" s="88"/>
      <c r="AR29" s="88"/>
      <c r="AS29" s="84"/>
      <c r="AT29" s="84"/>
      <c r="AU29" s="84"/>
      <c r="AV29" s="84"/>
      <c r="AW29" s="84"/>
      <c r="AX29" s="84"/>
      <c r="AY29" s="84"/>
      <c r="AZ29" s="84"/>
      <c r="BA29" s="84"/>
      <c r="BB29" s="84"/>
      <c r="BC29" s="84"/>
      <c r="BD29" s="84"/>
      <c r="BE29" s="84"/>
      <c r="BF29" s="84"/>
      <c r="BG29" s="84"/>
      <c r="BH29" s="84"/>
      <c r="BI29" s="84"/>
      <c r="BW29" s="97" t="str">
        <f>CHOOSE(htfunits_temp,"°F","°C")</f>
        <v>°C</v>
      </c>
      <c r="BX29" s="98" t="str">
        <f>CHOOSE(htfunits_sg,"lb/cu.ft.","kg/cu.m.")</f>
        <v>kg/cu.m.</v>
      </c>
      <c r="BY29" s="98" t="str">
        <f>CHOOSE(htfunits_heat,"Btu/lb-°F","KJ/kg-°K")</f>
        <v>KJ/kg-°K</v>
      </c>
      <c r="BZ29" s="98" t="str">
        <f>CHOOSE(htfunits_tc,"Btu/ft-hr-°F","W/m-°K")</f>
        <v>W/m-°K</v>
      </c>
      <c r="CA29" s="98" t="str">
        <f>CHOOSE(htfunits_viscosity,"cP","cSt")</f>
        <v>cP</v>
      </c>
      <c r="CB29" s="99" t="s">
        <v>103</v>
      </c>
      <c r="CC29" s="79"/>
      <c r="CE29" s="97" t="str">
        <f>CHOOSE(htfunits_temp,"°F","°C")</f>
        <v>°C</v>
      </c>
      <c r="CF29" s="98" t="str">
        <f>CHOOSE(htfunits_sg,"lb/cu.ft.","kg/cu.m.")</f>
        <v>kg/cu.m.</v>
      </c>
      <c r="CG29" s="98" t="str">
        <f>CHOOSE(htfunits_heat,"Btu/lb-°F","KJ/kg-°K")</f>
        <v>KJ/kg-°K</v>
      </c>
      <c r="CH29" s="98" t="str">
        <f>CHOOSE(htfunits_tc,"Btu/ft-hr-°F","W/m-°K")</f>
        <v>W/m-°K</v>
      </c>
      <c r="CI29" s="98" t="str">
        <f>CHOOSE(htfunits_viscosity,"cP","cSt")</f>
        <v>cP</v>
      </c>
      <c r="CJ29" s="99" t="s">
        <v>103</v>
      </c>
      <c r="CK29" s="79"/>
    </row>
    <row r="30" spans="8:89" ht="12.75">
      <c r="H30" s="61"/>
      <c r="I30" s="61"/>
      <c r="J30" s="61"/>
      <c r="BW30" s="106">
        <v>-10</v>
      </c>
      <c r="BX30" s="78">
        <v>819.4333333333334</v>
      </c>
      <c r="BY30" s="78">
        <v>0.565</v>
      </c>
      <c r="BZ30" s="78">
        <v>0.124</v>
      </c>
      <c r="CA30" s="78">
        <v>0.92</v>
      </c>
      <c r="CB30" s="107"/>
      <c r="CC30" s="79"/>
      <c r="CE30" s="106">
        <v>60</v>
      </c>
      <c r="CF30" s="78">
        <v>1136.555</v>
      </c>
      <c r="CG30" s="78">
        <v>0.62</v>
      </c>
      <c r="CH30" s="78">
        <v>0.164</v>
      </c>
      <c r="CI30" s="78">
        <v>92</v>
      </c>
      <c r="CJ30" s="107"/>
      <c r="CK30" s="79"/>
    </row>
    <row r="31" spans="75:89" ht="12.75">
      <c r="BW31" s="106">
        <v>0</v>
      </c>
      <c r="BX31" s="78">
        <v>810.1833333333334</v>
      </c>
      <c r="BY31" s="78">
        <v>0.578</v>
      </c>
      <c r="BZ31" s="78">
        <v>0.124</v>
      </c>
      <c r="CA31" s="78">
        <v>0.8</v>
      </c>
      <c r="CB31" s="110">
        <v>29.6</v>
      </c>
      <c r="CC31" s="79"/>
      <c r="CE31" s="106">
        <v>80</v>
      </c>
      <c r="CF31" s="78">
        <v>1084.2909999999997</v>
      </c>
      <c r="CG31" s="78">
        <v>0.645</v>
      </c>
      <c r="CH31" s="78">
        <v>0.164</v>
      </c>
      <c r="CI31" s="78">
        <v>34</v>
      </c>
      <c r="CJ31" s="110"/>
      <c r="CK31" s="79"/>
    </row>
    <row r="32" spans="35:89" ht="12.75">
      <c r="AI32" s="117"/>
      <c r="AJ32" s="117"/>
      <c r="BW32" s="106">
        <v>10</v>
      </c>
      <c r="BX32" s="78">
        <v>800.9333333333334</v>
      </c>
      <c r="BY32" s="78">
        <v>0.588</v>
      </c>
      <c r="BZ32" s="78">
        <v>0.124</v>
      </c>
      <c r="CA32" s="78">
        <v>0.69</v>
      </c>
      <c r="CB32" s="107"/>
      <c r="CC32" s="79"/>
      <c r="CE32" s="106">
        <v>100</v>
      </c>
      <c r="CF32" s="78">
        <v>1032.0269999999998</v>
      </c>
      <c r="CG32" s="78">
        <v>0.67</v>
      </c>
      <c r="CH32" s="78">
        <v>0.164</v>
      </c>
      <c r="CI32" s="78">
        <v>13.5</v>
      </c>
      <c r="CJ32" s="107"/>
      <c r="CK32" s="79"/>
    </row>
    <row r="33" spans="3:89" ht="12.75">
      <c r="C33" s="118" t="s">
        <v>145</v>
      </c>
      <c r="K33" s="84"/>
      <c r="L33" s="84"/>
      <c r="M33" s="84"/>
      <c r="N33" s="84"/>
      <c r="O33" s="84"/>
      <c r="P33" s="84"/>
      <c r="Q33" s="84"/>
      <c r="R33" s="84"/>
      <c r="S33" s="84"/>
      <c r="T33" s="84"/>
      <c r="U33" s="84"/>
      <c r="V33" s="84"/>
      <c r="W33" s="84"/>
      <c r="X33" s="84"/>
      <c r="Y33" s="84"/>
      <c r="Z33" s="84"/>
      <c r="AA33" s="84"/>
      <c r="AB33" s="84"/>
      <c r="AI33" s="117"/>
      <c r="AJ33" s="117"/>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W33" s="106">
        <v>20</v>
      </c>
      <c r="BX33" s="78">
        <v>791.6833333333334</v>
      </c>
      <c r="BY33" s="78">
        <v>0.594</v>
      </c>
      <c r="BZ33" s="78">
        <v>0.124</v>
      </c>
      <c r="CA33" s="78">
        <v>0.6</v>
      </c>
      <c r="CB33" s="110">
        <v>96.7</v>
      </c>
      <c r="CC33" s="79"/>
      <c r="CE33" s="106">
        <v>120</v>
      </c>
      <c r="CF33" s="78">
        <v>979.7629999999997</v>
      </c>
      <c r="CG33" s="78">
        <v>0.694</v>
      </c>
      <c r="CH33" s="78">
        <v>0.164</v>
      </c>
      <c r="CI33" s="78">
        <v>5.4</v>
      </c>
      <c r="CJ33" s="110"/>
      <c r="CK33" s="79"/>
    </row>
    <row r="34" spans="11:89" ht="12.75">
      <c r="K34" s="84"/>
      <c r="L34" s="84"/>
      <c r="M34" s="84"/>
      <c r="N34" s="84"/>
      <c r="O34" s="84"/>
      <c r="P34" s="84"/>
      <c r="Q34" s="84"/>
      <c r="R34" s="84"/>
      <c r="S34" s="84"/>
      <c r="T34" s="84"/>
      <c r="U34" s="84"/>
      <c r="V34" s="84"/>
      <c r="W34" s="84"/>
      <c r="X34" s="84"/>
      <c r="Y34" s="84"/>
      <c r="Z34" s="84"/>
      <c r="AA34" s="84"/>
      <c r="AB34" s="84"/>
      <c r="AI34" s="117"/>
      <c r="AJ34" s="117"/>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W34" s="106">
        <v>30</v>
      </c>
      <c r="BX34" s="78">
        <v>782.4333333333334</v>
      </c>
      <c r="BY34" s="78">
        <v>0.608</v>
      </c>
      <c r="BZ34" s="78">
        <v>0.124</v>
      </c>
      <c r="CA34" s="78">
        <v>0.52</v>
      </c>
      <c r="CB34" s="107"/>
      <c r="CC34" s="79"/>
      <c r="CE34" s="106">
        <v>140</v>
      </c>
      <c r="CF34" s="78">
        <v>927.4989999999998</v>
      </c>
      <c r="CG34" s="78">
        <v>0.72</v>
      </c>
      <c r="CH34" s="78">
        <v>0.164</v>
      </c>
      <c r="CI34" s="78">
        <v>2.4</v>
      </c>
      <c r="CJ34" s="107"/>
      <c r="CK34" s="79"/>
    </row>
    <row r="35" spans="35:89" ht="12.75">
      <c r="AI35" s="117"/>
      <c r="AJ35" s="117"/>
      <c r="BB35" s="84"/>
      <c r="BC35" s="84"/>
      <c r="BD35" s="84"/>
      <c r="BE35" s="84"/>
      <c r="BF35" s="84"/>
      <c r="BG35" s="84"/>
      <c r="BH35" s="84"/>
      <c r="BI35" s="84"/>
      <c r="BW35" s="111">
        <v>40</v>
      </c>
      <c r="BX35" s="112">
        <v>773.1833333333334</v>
      </c>
      <c r="BY35" s="112">
        <v>0.618</v>
      </c>
      <c r="BZ35" s="112">
        <v>0.124</v>
      </c>
      <c r="CA35" s="112">
        <v>0.47</v>
      </c>
      <c r="CB35" s="113">
        <v>265.6</v>
      </c>
      <c r="CC35" s="114"/>
      <c r="CE35" s="111">
        <v>160</v>
      </c>
      <c r="CF35" s="112">
        <v>875.235</v>
      </c>
      <c r="CG35" s="112">
        <v>0.743</v>
      </c>
      <c r="CH35" s="112">
        <v>0.164</v>
      </c>
      <c r="CI35" s="112">
        <v>1</v>
      </c>
      <c r="CJ35" s="113"/>
      <c r="CK35" s="114"/>
    </row>
    <row r="36" spans="35:61" ht="12.75">
      <c r="AI36" s="117"/>
      <c r="AJ36" s="117"/>
      <c r="BB36" s="84"/>
      <c r="BC36" s="84"/>
      <c r="BD36" s="84"/>
      <c r="BE36" s="84"/>
      <c r="BF36" s="84"/>
      <c r="BG36" s="84"/>
      <c r="BH36" s="84"/>
      <c r="BI36" s="84"/>
    </row>
    <row r="37" spans="35:89" ht="12.75">
      <c r="AI37" s="117"/>
      <c r="AJ37" s="117"/>
      <c r="BB37" s="84"/>
      <c r="BC37" s="84"/>
      <c r="BD37" s="84"/>
      <c r="BE37" s="84"/>
      <c r="BF37" s="84"/>
      <c r="BG37" s="84"/>
      <c r="BH37" s="84"/>
      <c r="BI37" s="84"/>
      <c r="BW37" s="71" t="s">
        <v>116</v>
      </c>
      <c r="BX37" s="72"/>
      <c r="BY37" s="73" t="s">
        <v>101</v>
      </c>
      <c r="BZ37" s="72"/>
      <c r="CA37" s="74" t="str">
        <f>IF(ISNA(VLOOKUP(BY37,HTF_properties,1,FALSE)),"","&lt;-- Already in the database")</f>
        <v>&lt;-- Already in the database</v>
      </c>
      <c r="CB37" s="58"/>
      <c r="CC37" s="75"/>
      <c r="CE37" s="71" t="s">
        <v>116</v>
      </c>
      <c r="CF37" s="72"/>
      <c r="CG37" s="73" t="s">
        <v>468</v>
      </c>
      <c r="CH37" s="72"/>
      <c r="CI37" s="74" t="str">
        <f>IF(ISNA(VLOOKUP(CG37,HTF_properties,1,FALSE)),"","&lt;-- Already in the database")</f>
        <v>&lt;-- Already in the database</v>
      </c>
      <c r="CJ37" s="58"/>
      <c r="CK37" s="75"/>
    </row>
    <row r="38" spans="35:89" ht="12.75">
      <c r="AI38" s="117"/>
      <c r="AJ38" s="117"/>
      <c r="BB38" s="84"/>
      <c r="BC38" s="84"/>
      <c r="BD38" s="84"/>
      <c r="BE38" s="84"/>
      <c r="BF38" s="84"/>
      <c r="BG38" s="84"/>
      <c r="BH38" s="84"/>
      <c r="BI38" s="84"/>
      <c r="BW38" s="76" t="s">
        <v>118</v>
      </c>
      <c r="BX38" s="77"/>
      <c r="BY38" s="78"/>
      <c r="BZ38" s="77"/>
      <c r="CA38" s="61"/>
      <c r="CB38" s="61"/>
      <c r="CC38" s="79"/>
      <c r="CE38" s="76" t="s">
        <v>118</v>
      </c>
      <c r="CF38" s="77"/>
      <c r="CG38" s="78"/>
      <c r="CH38" s="77"/>
      <c r="CI38" s="61"/>
      <c r="CJ38" s="61"/>
      <c r="CK38" s="79"/>
    </row>
    <row r="39" spans="35:89" ht="12.75">
      <c r="AI39" s="117"/>
      <c r="AJ39" s="117"/>
      <c r="AW39" s="84"/>
      <c r="AX39" s="84"/>
      <c r="AY39" s="84"/>
      <c r="AZ39" s="84"/>
      <c r="BA39" s="84"/>
      <c r="BB39" s="84"/>
      <c r="BC39" s="84"/>
      <c r="BD39" s="84"/>
      <c r="BW39" s="76" t="s">
        <v>120</v>
      </c>
      <c r="BX39" s="77"/>
      <c r="BY39" s="78" t="s">
        <v>469</v>
      </c>
      <c r="BZ39" s="77"/>
      <c r="CA39" s="61"/>
      <c r="CB39" s="61" t="s">
        <v>108</v>
      </c>
      <c r="CC39" s="81">
        <v>842</v>
      </c>
      <c r="CE39" s="76" t="s">
        <v>120</v>
      </c>
      <c r="CF39" s="77"/>
      <c r="CG39" s="78" t="s">
        <v>469</v>
      </c>
      <c r="CH39" s="77"/>
      <c r="CI39" s="61"/>
      <c r="CJ39" s="61" t="s">
        <v>108</v>
      </c>
      <c r="CK39" s="81">
        <v>581</v>
      </c>
    </row>
    <row r="40" spans="35:89" ht="12.75">
      <c r="AI40" s="117"/>
      <c r="AJ40" s="117"/>
      <c r="AW40" s="84"/>
      <c r="AX40" s="84"/>
      <c r="AY40" s="84"/>
      <c r="AZ40" s="84"/>
      <c r="BA40" s="84"/>
      <c r="BB40" s="84"/>
      <c r="BC40" s="84"/>
      <c r="BD40" s="84"/>
      <c r="BW40" s="76" t="s">
        <v>122</v>
      </c>
      <c r="BX40" s="77"/>
      <c r="BY40" s="78"/>
      <c r="BZ40" s="80" t="str">
        <f>CHOOSE(htfunits_temp,"°F minimum","°C minimum")</f>
        <v>°C minimum</v>
      </c>
      <c r="CA40" s="61"/>
      <c r="CB40" s="61" t="s">
        <v>123</v>
      </c>
      <c r="CC40" s="81">
        <v>13</v>
      </c>
      <c r="CE40" s="76" t="s">
        <v>122</v>
      </c>
      <c r="CF40" s="77"/>
      <c r="CG40" s="78"/>
      <c r="CH40" s="80" t="str">
        <f>CHOOSE(htfunits_temp,"°F minimum","°C minimum")</f>
        <v>°C minimum</v>
      </c>
      <c r="CI40" s="61"/>
      <c r="CJ40" s="61" t="s">
        <v>123</v>
      </c>
      <c r="CK40" s="81">
        <v>29</v>
      </c>
    </row>
    <row r="41" spans="11:89" ht="12.75">
      <c r="K41" s="84"/>
      <c r="L41" s="84"/>
      <c r="M41" s="84"/>
      <c r="N41" s="84"/>
      <c r="O41" s="84"/>
      <c r="P41" s="84"/>
      <c r="Q41" s="84"/>
      <c r="R41" s="84"/>
      <c r="S41" s="84"/>
      <c r="T41" s="84"/>
      <c r="U41" s="84"/>
      <c r="V41" s="84"/>
      <c r="W41" s="84"/>
      <c r="X41" s="84"/>
      <c r="Y41" s="84"/>
      <c r="Z41" s="84"/>
      <c r="AA41" s="84"/>
      <c r="AB41" s="84"/>
      <c r="AI41" s="117"/>
      <c r="AJ41" s="117"/>
      <c r="AK41" s="84"/>
      <c r="AL41" s="84"/>
      <c r="AM41" s="84"/>
      <c r="AN41" s="84"/>
      <c r="AO41" s="84"/>
      <c r="AP41" s="84"/>
      <c r="AQ41" s="84"/>
      <c r="AR41" s="84"/>
      <c r="AS41" s="84"/>
      <c r="AT41" s="84"/>
      <c r="AU41" s="84"/>
      <c r="AV41" s="84"/>
      <c r="AW41" s="84"/>
      <c r="AX41" s="84"/>
      <c r="AY41" s="84"/>
      <c r="AZ41" s="84"/>
      <c r="BA41" s="84"/>
      <c r="BB41" s="84"/>
      <c r="BC41" s="84"/>
      <c r="BD41" s="84"/>
      <c r="BW41" s="76"/>
      <c r="BX41" s="77"/>
      <c r="BY41" s="78"/>
      <c r="BZ41" s="80" t="str">
        <f>CHOOSE(htfunits_temp,"°F maximum","°C maximum")</f>
        <v>°C maximum</v>
      </c>
      <c r="CA41" s="61"/>
      <c r="CB41" s="61" t="s">
        <v>124</v>
      </c>
      <c r="CC41" s="81">
        <v>78.4</v>
      </c>
      <c r="CE41" s="76"/>
      <c r="CF41" s="77"/>
      <c r="CG41" s="78"/>
      <c r="CH41" s="80" t="str">
        <f>CHOOSE(htfunits_temp,"°F maximum","°C maximum")</f>
        <v>°C maximum</v>
      </c>
      <c r="CI41" s="61"/>
      <c r="CJ41" s="61" t="s">
        <v>124</v>
      </c>
      <c r="CK41" s="81">
        <v>117.5</v>
      </c>
    </row>
    <row r="42" spans="4:89" ht="12.75">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I42" s="117"/>
      <c r="AJ42" s="117"/>
      <c r="AK42" s="84"/>
      <c r="AL42" s="84"/>
      <c r="AM42" s="84"/>
      <c r="AN42" s="84"/>
      <c r="AO42" s="84"/>
      <c r="AP42" s="84"/>
      <c r="AQ42" s="84"/>
      <c r="AR42" s="84"/>
      <c r="AS42" s="84"/>
      <c r="AT42" s="84"/>
      <c r="AU42" s="84"/>
      <c r="AV42" s="84"/>
      <c r="AW42" s="84"/>
      <c r="BW42" s="82" t="s">
        <v>125</v>
      </c>
      <c r="BX42" s="61"/>
      <c r="BY42" s="83" t="s">
        <v>470</v>
      </c>
      <c r="BZ42" s="61"/>
      <c r="CA42" s="61"/>
      <c r="CB42" s="61" t="s">
        <v>456</v>
      </c>
      <c r="CC42" s="81">
        <v>46.07</v>
      </c>
      <c r="CE42" s="82" t="s">
        <v>125</v>
      </c>
      <c r="CF42" s="61"/>
      <c r="CG42" s="83" t="s">
        <v>470</v>
      </c>
      <c r="CH42" s="61"/>
      <c r="CI42" s="61"/>
      <c r="CJ42" s="61" t="s">
        <v>456</v>
      </c>
      <c r="CK42" s="81">
        <v>74.12</v>
      </c>
    </row>
    <row r="43" spans="4:89" ht="12.75">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I43" s="117"/>
      <c r="AJ43" s="117"/>
      <c r="AK43" s="84"/>
      <c r="AL43" s="84"/>
      <c r="AM43" s="84"/>
      <c r="AN43" s="84"/>
      <c r="AO43" s="84"/>
      <c r="AP43" s="84"/>
      <c r="AQ43" s="84"/>
      <c r="AR43" s="84"/>
      <c r="AS43" s="84"/>
      <c r="AT43" s="84"/>
      <c r="AU43" s="84"/>
      <c r="AV43" s="84"/>
      <c r="AW43" s="84"/>
      <c r="BW43" s="85"/>
      <c r="BX43" s="77"/>
      <c r="BY43" s="77"/>
      <c r="BZ43" s="77"/>
      <c r="CA43" s="77"/>
      <c r="CB43" s="77"/>
      <c r="CC43" s="86"/>
      <c r="CE43" s="85"/>
      <c r="CF43" s="77"/>
      <c r="CG43" s="77"/>
      <c r="CH43" s="77"/>
      <c r="CI43" s="77"/>
      <c r="CJ43" s="77"/>
      <c r="CK43" s="86"/>
    </row>
    <row r="44" spans="4:89" ht="12.75">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I44" s="117"/>
      <c r="AJ44" s="117"/>
      <c r="AK44" s="84"/>
      <c r="AL44" s="84"/>
      <c r="AM44" s="84"/>
      <c r="AN44" s="84"/>
      <c r="AO44" s="84"/>
      <c r="AP44" s="84"/>
      <c r="AQ44" s="84"/>
      <c r="AR44" s="84"/>
      <c r="AS44" s="84"/>
      <c r="AT44" s="84"/>
      <c r="AU44" s="84"/>
      <c r="AV44" s="84"/>
      <c r="AW44" s="84"/>
      <c r="BW44" s="82"/>
      <c r="BX44" s="89" t="s">
        <v>16</v>
      </c>
      <c r="BY44" s="61"/>
      <c r="BZ44" s="89" t="s">
        <v>130</v>
      </c>
      <c r="CA44" s="61"/>
      <c r="CB44" s="89" t="s">
        <v>22</v>
      </c>
      <c r="CC44" s="79"/>
      <c r="CE44" s="82"/>
      <c r="CF44" s="89" t="s">
        <v>16</v>
      </c>
      <c r="CG44" s="61"/>
      <c r="CH44" s="89" t="s">
        <v>130</v>
      </c>
      <c r="CI44" s="61"/>
      <c r="CJ44" s="89" t="s">
        <v>22</v>
      </c>
      <c r="CK44" s="79"/>
    </row>
    <row r="45" spans="4:89" ht="12.75">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I45" s="117"/>
      <c r="AJ45" s="117"/>
      <c r="AK45" s="84"/>
      <c r="AL45" s="84"/>
      <c r="AM45" s="84"/>
      <c r="AN45" s="84"/>
      <c r="AO45" s="84"/>
      <c r="AP45" s="84"/>
      <c r="AQ45" s="84"/>
      <c r="AR45" s="84"/>
      <c r="AS45" s="84"/>
      <c r="AT45" s="84"/>
      <c r="AU45" s="84"/>
      <c r="AV45" s="84"/>
      <c r="AW45" s="84"/>
      <c r="BW45" s="93" t="s">
        <v>132</v>
      </c>
      <c r="BX45" s="89" t="s">
        <v>0</v>
      </c>
      <c r="BY45" s="89" t="s">
        <v>133</v>
      </c>
      <c r="BZ45" s="89" t="s">
        <v>134</v>
      </c>
      <c r="CA45" s="89" t="s">
        <v>135</v>
      </c>
      <c r="CB45" s="89" t="s">
        <v>136</v>
      </c>
      <c r="CC45" s="79"/>
      <c r="CE45" s="93" t="s">
        <v>132</v>
      </c>
      <c r="CF45" s="89" t="s">
        <v>0</v>
      </c>
      <c r="CG45" s="89" t="s">
        <v>133</v>
      </c>
      <c r="CH45" s="89" t="s">
        <v>134</v>
      </c>
      <c r="CI45" s="89" t="s">
        <v>135</v>
      </c>
      <c r="CJ45" s="89" t="s">
        <v>136</v>
      </c>
      <c r="CK45" s="79"/>
    </row>
    <row r="46" spans="4:89" ht="12.75">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I46" s="117"/>
      <c r="AJ46" s="117"/>
      <c r="AK46" s="84"/>
      <c r="AL46" s="84"/>
      <c r="AM46" s="84"/>
      <c r="AN46" s="84"/>
      <c r="AO46" s="84"/>
      <c r="AP46" s="84"/>
      <c r="AQ46" s="84"/>
      <c r="AR46" s="84"/>
      <c r="AS46" s="84"/>
      <c r="AT46" s="84"/>
      <c r="AU46" s="84"/>
      <c r="AV46" s="84"/>
      <c r="AW46" s="84"/>
      <c r="BW46" s="97" t="str">
        <f>CHOOSE(htfunits_temp,"°F","°C")</f>
        <v>°C</v>
      </c>
      <c r="BX46" s="98" t="str">
        <f>CHOOSE(htfunits_sg,"lb/cu.ft.","kg/cu.m.")</f>
        <v>kg/cu.m.</v>
      </c>
      <c r="BY46" s="98" t="str">
        <f>CHOOSE(htfunits_heat,"Btu/lb-°F","KJ/kg-°K")</f>
        <v>KJ/kg-°K</v>
      </c>
      <c r="BZ46" s="98" t="str">
        <f>CHOOSE(htfunits_tc,"Btu/ft-hr-°F","W/m-°K")</f>
        <v>W/m-°K</v>
      </c>
      <c r="CA46" s="98" t="str">
        <f>CHOOSE(htfunits_viscosity,"cP","cSt")</f>
        <v>cP</v>
      </c>
      <c r="CB46" s="99" t="s">
        <v>103</v>
      </c>
      <c r="CC46" s="79"/>
      <c r="CE46" s="97" t="str">
        <f>CHOOSE(htfunits_temp,"°F","°C")</f>
        <v>°C</v>
      </c>
      <c r="CF46" s="98" t="str">
        <f>CHOOSE(htfunits_sg,"lb/cu.ft.","kg/cu.m.")</f>
        <v>kg/cu.m.</v>
      </c>
      <c r="CG46" s="98" t="str">
        <f>CHOOSE(htfunits_heat,"Btu/lb-°F","KJ/kg-°K")</f>
        <v>KJ/kg-°K</v>
      </c>
      <c r="CH46" s="98" t="str">
        <f>CHOOSE(htfunits_tc,"Btu/ft-hr-°F","W/m-°K")</f>
        <v>W/m-°K</v>
      </c>
      <c r="CI46" s="98" t="str">
        <f>CHOOSE(htfunits_viscosity,"cP","cSt")</f>
        <v>cP</v>
      </c>
      <c r="CJ46" s="99" t="s">
        <v>103</v>
      </c>
      <c r="CK46" s="79"/>
    </row>
    <row r="47" spans="4:89" ht="12.75">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I47" s="117"/>
      <c r="AJ47" s="117"/>
      <c r="AK47" s="84"/>
      <c r="AL47" s="84"/>
      <c r="AM47" s="84"/>
      <c r="AN47" s="84"/>
      <c r="AO47" s="84"/>
      <c r="AP47" s="84"/>
      <c r="AQ47" s="84"/>
      <c r="AR47" s="84"/>
      <c r="AS47" s="84"/>
      <c r="AT47" s="84"/>
      <c r="AU47" s="84"/>
      <c r="AV47" s="84"/>
      <c r="AW47" s="84"/>
      <c r="BW47" s="106">
        <v>-10</v>
      </c>
      <c r="BX47" s="78">
        <v>815.04</v>
      </c>
      <c r="BY47" s="78">
        <v>0.457</v>
      </c>
      <c r="BZ47" s="78">
        <v>0.105</v>
      </c>
      <c r="CA47" s="78">
        <v>2.07</v>
      </c>
      <c r="CB47" s="107"/>
      <c r="CC47" s="79"/>
      <c r="CE47" s="106">
        <v>0</v>
      </c>
      <c r="CF47" s="78"/>
      <c r="CG47" s="78">
        <v>0.5</v>
      </c>
      <c r="CH47" s="78">
        <v>0.101</v>
      </c>
      <c r="CI47" s="78">
        <v>4.7</v>
      </c>
      <c r="CJ47" s="107"/>
      <c r="CK47" s="79"/>
    </row>
    <row r="48" spans="4:89" ht="12.75">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117"/>
      <c r="AF48" s="117"/>
      <c r="AG48" s="117"/>
      <c r="AH48" s="117"/>
      <c r="AI48" s="117"/>
      <c r="AJ48" s="117"/>
      <c r="AK48" s="84"/>
      <c r="AL48" s="84"/>
      <c r="AM48" s="84"/>
      <c r="AN48" s="84"/>
      <c r="AO48" s="84"/>
      <c r="AP48" s="84"/>
      <c r="AQ48" s="84"/>
      <c r="AR48" s="84"/>
      <c r="AS48" s="84"/>
      <c r="AT48" s="84"/>
      <c r="AU48" s="84"/>
      <c r="AV48" s="84"/>
      <c r="AW48" s="84"/>
      <c r="BW48" s="106">
        <v>0</v>
      </c>
      <c r="BX48" s="78">
        <v>806.45</v>
      </c>
      <c r="BY48" s="78">
        <v>0.49</v>
      </c>
      <c r="BZ48" s="78">
        <v>0.105</v>
      </c>
      <c r="CA48" s="78">
        <v>1.7</v>
      </c>
      <c r="CB48" s="110">
        <v>11.97</v>
      </c>
      <c r="CC48" s="79"/>
      <c r="CE48" s="106">
        <v>20</v>
      </c>
      <c r="CF48" s="78"/>
      <c r="CG48" s="78">
        <v>0.555</v>
      </c>
      <c r="CH48" s="78">
        <v>0.099</v>
      </c>
      <c r="CI48" s="78">
        <v>2.9</v>
      </c>
      <c r="CJ48" s="110">
        <v>4.86</v>
      </c>
      <c r="CK48" s="79"/>
    </row>
    <row r="49" spans="4:89" ht="12.75">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117"/>
      <c r="AF49" s="117"/>
      <c r="AG49" s="117"/>
      <c r="AH49" s="117"/>
      <c r="AI49" s="117"/>
      <c r="AJ49" s="117"/>
      <c r="AK49" s="84"/>
      <c r="AL49" s="84"/>
      <c r="AM49" s="84"/>
      <c r="AN49" s="84"/>
      <c r="AO49" s="84"/>
      <c r="AP49" s="84"/>
      <c r="AQ49" s="84"/>
      <c r="AR49" s="84"/>
      <c r="AS49" s="84"/>
      <c r="AT49" s="84"/>
      <c r="AU49" s="84"/>
      <c r="AV49" s="84"/>
      <c r="AW49" s="84"/>
      <c r="BW49" s="106">
        <v>10</v>
      </c>
      <c r="BX49" s="78">
        <v>797.86</v>
      </c>
      <c r="BY49" s="78">
        <v>0.525</v>
      </c>
      <c r="BZ49" s="78">
        <v>0.105</v>
      </c>
      <c r="CA49" s="78">
        <v>1.4</v>
      </c>
      <c r="CB49" s="107"/>
      <c r="CC49" s="79"/>
      <c r="CE49" s="106">
        <v>40</v>
      </c>
      <c r="CF49" s="78"/>
      <c r="CG49" s="78">
        <v>0.61</v>
      </c>
      <c r="CH49" s="78">
        <v>0.097</v>
      </c>
      <c r="CI49" s="78">
        <v>1.8</v>
      </c>
      <c r="CJ49" s="107"/>
      <c r="CK49" s="79"/>
    </row>
    <row r="50" spans="4:89" ht="12.75">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117"/>
      <c r="AF50" s="117"/>
      <c r="AG50" s="117"/>
      <c r="AH50" s="117"/>
      <c r="AI50" s="117"/>
      <c r="AJ50" s="117"/>
      <c r="AK50" s="84"/>
      <c r="AL50" s="84"/>
      <c r="AM50" s="84"/>
      <c r="AN50" s="84"/>
      <c r="AO50" s="84"/>
      <c r="AP50" s="84"/>
      <c r="AQ50" s="84"/>
      <c r="AR50" s="84"/>
      <c r="AS50" s="84"/>
      <c r="AT50" s="84"/>
      <c r="AU50" s="84"/>
      <c r="AV50" s="84"/>
      <c r="AW50" s="84"/>
      <c r="BW50" s="106">
        <v>20</v>
      </c>
      <c r="BX50" s="78">
        <v>789.27</v>
      </c>
      <c r="BY50" s="78">
        <v>0.562</v>
      </c>
      <c r="BZ50" s="78">
        <v>0.105</v>
      </c>
      <c r="CA50" s="78">
        <v>1.19</v>
      </c>
      <c r="CB50" s="110">
        <v>44.25</v>
      </c>
      <c r="CC50" s="79"/>
      <c r="CE50" s="106">
        <v>60</v>
      </c>
      <c r="CF50" s="78"/>
      <c r="CG50" s="78">
        <v>0.67</v>
      </c>
      <c r="CH50" s="78">
        <v>0.095</v>
      </c>
      <c r="CI50" s="78">
        <v>1.18</v>
      </c>
      <c r="CJ50" s="110">
        <v>60.39</v>
      </c>
      <c r="CK50" s="79"/>
    </row>
    <row r="51" spans="4:89" ht="12.75">
      <c r="D51" s="84"/>
      <c r="E51" s="84"/>
      <c r="F51" s="84"/>
      <c r="G51" s="84"/>
      <c r="H51" s="84"/>
      <c r="I51" s="84"/>
      <c r="J51" s="84"/>
      <c r="K51" s="84"/>
      <c r="L51" s="84"/>
      <c r="M51" s="84"/>
      <c r="N51" s="84"/>
      <c r="O51" s="84"/>
      <c r="P51" s="117"/>
      <c r="Q51" s="117"/>
      <c r="R51" s="117"/>
      <c r="S51" s="117"/>
      <c r="T51" s="117"/>
      <c r="U51" s="117"/>
      <c r="V51" s="117"/>
      <c r="W51" s="117"/>
      <c r="X51" s="117"/>
      <c r="Y51" s="117"/>
      <c r="Z51" s="117"/>
      <c r="AA51" s="117"/>
      <c r="AB51" s="117"/>
      <c r="AC51" s="117"/>
      <c r="AD51" s="117"/>
      <c r="AE51" s="84"/>
      <c r="AF51" s="84"/>
      <c r="AG51" s="84"/>
      <c r="AH51" s="84"/>
      <c r="AI51" s="84"/>
      <c r="AJ51" s="84"/>
      <c r="AK51" s="84"/>
      <c r="AL51" s="84"/>
      <c r="AM51" s="84"/>
      <c r="AN51" s="84"/>
      <c r="AO51" s="84"/>
      <c r="AP51" s="84"/>
      <c r="AQ51" s="84"/>
      <c r="BW51" s="106">
        <v>30</v>
      </c>
      <c r="BX51" s="78">
        <v>780.68</v>
      </c>
      <c r="BY51" s="78">
        <v>0.598</v>
      </c>
      <c r="BZ51" s="78">
        <v>0.105</v>
      </c>
      <c r="CA51" s="78">
        <v>0.98</v>
      </c>
      <c r="CB51" s="107"/>
      <c r="CC51" s="79"/>
      <c r="CE51" s="106">
        <v>80</v>
      </c>
      <c r="CF51" s="78"/>
      <c r="CG51" s="78">
        <v>0.72</v>
      </c>
      <c r="CH51" s="78">
        <v>0.093</v>
      </c>
      <c r="CI51" s="78">
        <v>0.79</v>
      </c>
      <c r="CJ51" s="107"/>
      <c r="CK51" s="79"/>
    </row>
    <row r="52" spans="3:89" ht="12.75">
      <c r="C52" s="84"/>
      <c r="D52" s="115"/>
      <c r="E52" s="115"/>
      <c r="F52" s="115"/>
      <c r="G52" s="51" t="s">
        <v>98</v>
      </c>
      <c r="H52" s="115"/>
      <c r="J52" s="51" t="s">
        <v>146</v>
      </c>
      <c r="M52" s="51" t="s">
        <v>458</v>
      </c>
      <c r="O52" s="51" t="s">
        <v>147</v>
      </c>
      <c r="Q52" s="51" t="s">
        <v>148</v>
      </c>
      <c r="AB52" s="88"/>
      <c r="AC52" s="64"/>
      <c r="AD52" s="88"/>
      <c r="AE52" s="88"/>
      <c r="AF52" s="88"/>
      <c r="AG52" s="88"/>
      <c r="AH52" s="88"/>
      <c r="AI52" s="88"/>
      <c r="AJ52" s="84"/>
      <c r="AK52" s="84"/>
      <c r="AL52" s="84"/>
      <c r="AM52" s="84"/>
      <c r="AN52" s="84"/>
      <c r="AP52" s="84"/>
      <c r="AQ52" s="84"/>
      <c r="AR52" s="84"/>
      <c r="AS52" s="84"/>
      <c r="AT52" s="84"/>
      <c r="AU52" s="84"/>
      <c r="AV52" s="84"/>
      <c r="AW52" s="84"/>
      <c r="AX52" s="84"/>
      <c r="AY52" s="84"/>
      <c r="AZ52" s="84"/>
      <c r="BW52" s="111">
        <v>40</v>
      </c>
      <c r="BX52" s="112">
        <v>772.09</v>
      </c>
      <c r="BY52" s="112">
        <v>0.636</v>
      </c>
      <c r="BZ52" s="78">
        <v>0.105</v>
      </c>
      <c r="CA52" s="112">
        <v>0.85</v>
      </c>
      <c r="CB52" s="113">
        <v>135</v>
      </c>
      <c r="CC52" s="114"/>
      <c r="CE52" s="111">
        <v>100</v>
      </c>
      <c r="CF52" s="112"/>
      <c r="CG52" s="112">
        <v>0.78</v>
      </c>
      <c r="CH52" s="112">
        <v>0.091</v>
      </c>
      <c r="CI52" s="112">
        <v>0.55</v>
      </c>
      <c r="CJ52" s="113">
        <v>386.72</v>
      </c>
      <c r="CK52" s="114"/>
    </row>
    <row r="53" spans="7:52" ht="12.75">
      <c r="G53" s="99" t="s">
        <v>18</v>
      </c>
      <c r="H53" s="99" t="s">
        <v>19</v>
      </c>
      <c r="I53" s="99" t="s">
        <v>5</v>
      </c>
      <c r="J53" s="99" t="s">
        <v>18</v>
      </c>
      <c r="K53" s="99" t="s">
        <v>19</v>
      </c>
      <c r="L53" s="99" t="s">
        <v>5</v>
      </c>
      <c r="M53" s="99" t="s">
        <v>2</v>
      </c>
      <c r="N53" s="99" t="s">
        <v>17</v>
      </c>
      <c r="O53" s="99" t="s">
        <v>2</v>
      </c>
      <c r="P53" s="99" t="s">
        <v>17</v>
      </c>
      <c r="Q53" s="99" t="s">
        <v>2</v>
      </c>
      <c r="R53" s="99" t="s">
        <v>17</v>
      </c>
      <c r="S53" s="116"/>
      <c r="T53" s="116"/>
      <c r="U53" s="116"/>
      <c r="V53" s="116"/>
      <c r="W53" s="116"/>
      <c r="X53" s="116"/>
      <c r="Y53" s="116"/>
      <c r="Z53" s="116"/>
      <c r="AA53" s="116"/>
      <c r="AB53" s="84"/>
      <c r="AC53" s="84"/>
      <c r="AD53" s="84"/>
      <c r="AE53" s="84"/>
      <c r="AF53" s="84"/>
      <c r="AG53" s="84"/>
      <c r="AH53" s="84"/>
      <c r="AI53" s="84"/>
      <c r="AJ53" s="84"/>
      <c r="AK53" s="84"/>
      <c r="AL53" s="84"/>
      <c r="AM53" s="84"/>
      <c r="AN53" s="84"/>
      <c r="AP53" s="84"/>
      <c r="AQ53" s="84"/>
      <c r="AR53" s="84"/>
      <c r="AS53" s="84"/>
      <c r="AT53" s="84"/>
      <c r="AU53" s="84"/>
      <c r="AV53" s="84"/>
      <c r="AW53" s="84"/>
      <c r="AX53" s="84"/>
      <c r="AY53" s="84"/>
      <c r="AZ53" s="84"/>
    </row>
    <row r="54" spans="1:99" ht="12.75">
      <c r="A54" s="84" t="str">
        <f>F11</f>
        <v>Octane</v>
      </c>
      <c r="B54" s="84">
        <f>F12</f>
        <v>0</v>
      </c>
      <c r="C54" s="84" t="str">
        <f>F13</f>
        <v>pure component</v>
      </c>
      <c r="D54" s="84">
        <f>CHOOSE(htfunits_temp,(F14-32)/1.8,F14)</f>
        <v>0</v>
      </c>
      <c r="E54" s="84">
        <f>CHOOSE(htfunits_temp,(F15-32)/1.8,F15)</f>
        <v>0</v>
      </c>
      <c r="F54" s="84"/>
      <c r="G54" s="119">
        <f>IF(I24&gt;0,LOG(I24)+H54/(K24+I54),"")</f>
        <v>7.095764550177389</v>
      </c>
      <c r="H54" s="119">
        <f>IF(I24&gt;0,LOG(I24/I26)/(1/(K26+I54)-1/(K24+I54)),"")</f>
        <v>1455.313737313395</v>
      </c>
      <c r="I54" s="119">
        <f>IF(I24&gt;0,(K22-(K26*Q20))/(Q20-1),"")</f>
        <v>219.70325236474275</v>
      </c>
      <c r="J54" s="84">
        <f>LN(P24)-K54/(L24+L54)</f>
        <v>-6.833946483766774</v>
      </c>
      <c r="K54" s="84">
        <f>-LN(P24/P26)/(1/(L26+L54)-1/(L24+L54))</f>
        <v>3563.9671054222845</v>
      </c>
      <c r="L54" s="84">
        <f>(L22-(L26*Q24))/(Q24-1)</f>
        <v>276.84758894962766</v>
      </c>
      <c r="M54" s="84">
        <f>SLOPE(M21:M26,K21:K26)</f>
        <v>-0.8369326112664697</v>
      </c>
      <c r="N54" s="84">
        <f>INTERCEPT(M21:M26,K21:K26)</f>
        <v>718.2330700896913</v>
      </c>
      <c r="O54" s="84">
        <f>SLOPE(O21:O26,K21:K26)</f>
        <v>-0.000310323647</v>
      </c>
      <c r="P54" s="84">
        <f>INTERCEPT(O21:O26,K21:K26)</f>
        <v>0.13641828321930832</v>
      </c>
      <c r="Q54" s="84">
        <f>SLOPE(N21:N26,K21:K26)</f>
        <v>0.002863944283046379</v>
      </c>
      <c r="R54" s="84">
        <f>INTERCEPT(N21:N26,K21:K26)</f>
        <v>2.1660968914991643</v>
      </c>
      <c r="S54" s="84">
        <f>CHOOSE(htfunits_temp,(J14-32)/1.8,J14)</f>
        <v>13.333333333333332</v>
      </c>
      <c r="T54" s="84">
        <f>CHOOSE(htfunits_temp,(J15-32)/1.8,J15)</f>
        <v>125.66666666666666</v>
      </c>
      <c r="U54" s="84"/>
      <c r="V54" s="84">
        <f>J16</f>
        <v>114.231</v>
      </c>
      <c r="W54" s="84">
        <f>CHOOSE(htfunits_HtVap,J13*2.326,J13)</f>
        <v>302.38</v>
      </c>
      <c r="X54" s="84"/>
      <c r="Y54" s="84"/>
      <c r="Z54" s="84"/>
      <c r="AA54" s="84"/>
      <c r="AC54" s="84">
        <f>RawDataSource</f>
        <v>-20</v>
      </c>
      <c r="AD54" s="84">
        <f>K22</f>
        <v>20</v>
      </c>
      <c r="AE54" s="84">
        <f>K23</f>
        <v>60</v>
      </c>
      <c r="AF54" s="84">
        <f>K24</f>
        <v>100</v>
      </c>
      <c r="AG54" s="84">
        <f>K25</f>
        <v>120</v>
      </c>
      <c r="AH54" s="84">
        <f>K26</f>
        <v>140</v>
      </c>
      <c r="AI54" s="84">
        <f>M21</f>
        <v>732.519128169923</v>
      </c>
      <c r="AJ54" s="84">
        <f>M22</f>
        <v>702.5186185803447</v>
      </c>
      <c r="AK54" s="84">
        <f>M23</f>
        <v>670.5873998047717</v>
      </c>
      <c r="AL54" s="84">
        <f>M24</f>
        <v>636.1610249273693</v>
      </c>
      <c r="AM54" s="51">
        <f>M25</f>
        <v>617.7531281096738</v>
      </c>
      <c r="AN54" s="51">
        <f>M26</f>
        <v>598.3474242141475</v>
      </c>
      <c r="AO54" s="51">
        <f>N21</f>
        <v>2.128493789555656</v>
      </c>
      <c r="AP54" s="51">
        <f>N22</f>
        <v>2.2182231955936844</v>
      </c>
      <c r="AQ54" s="51">
        <f>N23</f>
        <v>2.3152483235986043</v>
      </c>
      <c r="AR54" s="51">
        <f>N24</f>
        <v>2.435186874544758</v>
      </c>
      <c r="AS54" s="51">
        <f>N25</f>
        <v>2.508629215175278</v>
      </c>
      <c r="AT54" s="51">
        <f>N26</f>
        <v>2.593656549406484</v>
      </c>
      <c r="AU54" s="51">
        <f>O21</f>
        <v>0.14198014282597501</v>
      </c>
      <c r="AV54" s="51">
        <f>O22</f>
        <v>0.130534116945975</v>
      </c>
      <c r="AW54" s="51">
        <f>O23</f>
        <v>0.11844908306597503</v>
      </c>
      <c r="AX54" s="51">
        <f>O24</f>
        <v>0.105725041185975</v>
      </c>
      <c r="AY54" s="51">
        <f>O25</f>
        <v>0.09912339224597501</v>
      </c>
      <c r="AZ54" s="51">
        <f>O26</f>
        <v>0.092361991305975</v>
      </c>
      <c r="BA54" s="51">
        <f>P21</f>
        <v>1.0076474559080861</v>
      </c>
      <c r="BB54" s="51">
        <f>P22</f>
        <v>0.5591451571434347</v>
      </c>
      <c r="BC54" s="51">
        <f>P23</f>
        <v>0.36574699327658383</v>
      </c>
      <c r="BD54" s="51">
        <f>P24</f>
        <v>0.25900709355297696</v>
      </c>
      <c r="BE54" s="51">
        <f>P25</f>
        <v>0.2207328318992633</v>
      </c>
      <c r="BF54" s="51">
        <f>P26</f>
        <v>0.18848087857265342</v>
      </c>
      <c r="BG54" s="120">
        <f>I22</f>
        <v>10.579141944556135</v>
      </c>
      <c r="BH54" s="120">
        <f>I24</f>
        <v>349.69370529031386</v>
      </c>
      <c r="BI54" s="120">
        <f>I26</f>
        <v>1121.7378696559106</v>
      </c>
      <c r="BJ54" s="51" t="str">
        <f>F16</f>
        <v>Yaw's Handbook, 2003</v>
      </c>
      <c r="BK54" s="51">
        <f>J16</f>
        <v>114.231</v>
      </c>
      <c r="BW54" s="71" t="s">
        <v>116</v>
      </c>
      <c r="BX54" s="72"/>
      <c r="BY54" s="73" t="s">
        <v>465</v>
      </c>
      <c r="BZ54" s="72"/>
      <c r="CA54" s="74" t="str">
        <f>IF(ISNA(VLOOKUP(BY54,HTF_properties,1,FALSE)),"","&lt;-- Already in the database")</f>
        <v>&lt;-- Already in the database</v>
      </c>
      <c r="CB54" s="58"/>
      <c r="CC54" s="75"/>
      <c r="CE54"/>
      <c r="CF54"/>
      <c r="CG54"/>
      <c r="CH54"/>
      <c r="CI54"/>
      <c r="CJ54"/>
      <c r="CK54"/>
      <c r="CL54"/>
      <c r="CM54"/>
      <c r="CN54"/>
      <c r="CO54"/>
      <c r="CP54"/>
      <c r="CQ54"/>
      <c r="CR54"/>
      <c r="CS54"/>
      <c r="CT54"/>
      <c r="CU54"/>
    </row>
    <row r="55" spans="19:99" ht="12.75">
      <c r="S55" s="84"/>
      <c r="T55" s="84"/>
      <c r="U55" s="84"/>
      <c r="V55" s="84"/>
      <c r="W55" s="84"/>
      <c r="X55" s="84"/>
      <c r="Y55" s="84"/>
      <c r="Z55" s="84"/>
      <c r="AA55" s="84"/>
      <c r="BW55" s="76" t="s">
        <v>118</v>
      </c>
      <c r="BX55" s="77"/>
      <c r="BY55" s="78"/>
      <c r="BZ55" s="77"/>
      <c r="CA55" s="61"/>
      <c r="CB55" s="61"/>
      <c r="CC55" s="79"/>
      <c r="CE55"/>
      <c r="CF55"/>
      <c r="CG55"/>
      <c r="CH55"/>
      <c r="CI55"/>
      <c r="CJ55"/>
      <c r="CK55"/>
      <c r="CL55"/>
      <c r="CM55"/>
      <c r="CN55"/>
      <c r="CO55"/>
      <c r="CP55"/>
      <c r="CQ55"/>
      <c r="CR55"/>
      <c r="CS55"/>
      <c r="CT55"/>
      <c r="CU55"/>
    </row>
    <row r="56" spans="1:99" ht="12.75">
      <c r="A56" s="121"/>
      <c r="B56" s="121"/>
      <c r="C56" s="121"/>
      <c r="D56" s="121"/>
      <c r="E56" s="121"/>
      <c r="F56" s="121"/>
      <c r="G56" s="121"/>
      <c r="H56" s="121"/>
      <c r="I56" s="121"/>
      <c r="J56" s="121"/>
      <c r="K56" s="121"/>
      <c r="L56" s="121"/>
      <c r="M56" s="121"/>
      <c r="N56" s="121"/>
      <c r="O56" s="121"/>
      <c r="P56" s="121"/>
      <c r="Q56" s="121"/>
      <c r="R56" s="121"/>
      <c r="S56" s="84"/>
      <c r="T56" s="84"/>
      <c r="U56" s="84"/>
      <c r="V56" s="84"/>
      <c r="W56" s="84"/>
      <c r="X56" s="84"/>
      <c r="Y56" s="84"/>
      <c r="Z56" s="84"/>
      <c r="AA56" s="84"/>
      <c r="AC56" s="122" t="s">
        <v>149</v>
      </c>
      <c r="BW56" s="76" t="s">
        <v>120</v>
      </c>
      <c r="BX56" s="77"/>
      <c r="BY56" s="78" t="s">
        <v>469</v>
      </c>
      <c r="BZ56" s="77"/>
      <c r="CA56" s="61"/>
      <c r="CB56" s="61" t="s">
        <v>108</v>
      </c>
      <c r="CC56" s="81">
        <v>695</v>
      </c>
      <c r="CE56"/>
      <c r="CF56"/>
      <c r="CG56"/>
      <c r="CH56"/>
      <c r="CI56"/>
      <c r="CJ56"/>
      <c r="CK56"/>
      <c r="CL56"/>
      <c r="CM56"/>
      <c r="CN56"/>
      <c r="CO56"/>
      <c r="CP56"/>
      <c r="CQ56"/>
      <c r="CR56"/>
      <c r="CS56"/>
      <c r="CT56"/>
      <c r="CU56"/>
    </row>
    <row r="57" spans="1:99" ht="12.75">
      <c r="A57" s="51" t="s">
        <v>28</v>
      </c>
      <c r="B57" s="51" t="s">
        <v>150</v>
      </c>
      <c r="C57" s="51" t="s">
        <v>151</v>
      </c>
      <c r="D57" s="123" t="s">
        <v>152</v>
      </c>
      <c r="E57" s="123"/>
      <c r="F57" s="124"/>
      <c r="G57" s="51" t="s">
        <v>109</v>
      </c>
      <c r="H57" s="124"/>
      <c r="J57" s="51" t="s">
        <v>457</v>
      </c>
      <c r="M57" s="51" t="s">
        <v>459</v>
      </c>
      <c r="O57" s="51" t="s">
        <v>460</v>
      </c>
      <c r="Q57" s="51" t="s">
        <v>461</v>
      </c>
      <c r="S57" s="51" t="s">
        <v>153</v>
      </c>
      <c r="T57" s="51" t="s">
        <v>154</v>
      </c>
      <c r="U57" s="51" t="s">
        <v>155</v>
      </c>
      <c r="V57" s="51" t="s">
        <v>455</v>
      </c>
      <c r="W57" s="51" t="s">
        <v>108</v>
      </c>
      <c r="AC57" s="125" t="s">
        <v>156</v>
      </c>
      <c r="AD57" s="126"/>
      <c r="AE57" s="126"/>
      <c r="AF57" s="126"/>
      <c r="AG57" s="126"/>
      <c r="AH57" s="126"/>
      <c r="AI57" s="127" t="s">
        <v>23</v>
      </c>
      <c r="AJ57" s="127"/>
      <c r="AK57" s="127"/>
      <c r="AL57" s="127"/>
      <c r="AM57" s="127"/>
      <c r="AN57" s="127"/>
      <c r="AO57" s="128" t="s">
        <v>463</v>
      </c>
      <c r="AP57" s="128"/>
      <c r="AQ57" s="128"/>
      <c r="AR57" s="128"/>
      <c r="AS57" s="128"/>
      <c r="AT57" s="128"/>
      <c r="AU57" s="129" t="s">
        <v>157</v>
      </c>
      <c r="AV57" s="129"/>
      <c r="AW57" s="129"/>
      <c r="AX57" s="129"/>
      <c r="AY57" s="129"/>
      <c r="AZ57" s="129"/>
      <c r="BA57" s="130" t="s">
        <v>158</v>
      </c>
      <c r="BB57" s="130"/>
      <c r="BC57" s="130"/>
      <c r="BD57" s="130"/>
      <c r="BE57" s="130"/>
      <c r="BF57" s="130"/>
      <c r="BG57" s="131" t="s">
        <v>159</v>
      </c>
      <c r="BH57" s="131"/>
      <c r="BI57" s="131"/>
      <c r="BJ57" s="58" t="s">
        <v>160</v>
      </c>
      <c r="BK57" s="172" t="s">
        <v>107</v>
      </c>
      <c r="BW57" s="76" t="s">
        <v>122</v>
      </c>
      <c r="BX57" s="77"/>
      <c r="BY57" s="78"/>
      <c r="BZ57" s="80" t="str">
        <f>CHOOSE(htfunits_temp,"°F minimum","°C minimum")</f>
        <v>°C minimum</v>
      </c>
      <c r="CA57" s="61"/>
      <c r="CB57" s="61" t="s">
        <v>123</v>
      </c>
      <c r="CC57" s="81">
        <v>15</v>
      </c>
      <c r="CE57"/>
      <c r="CF57"/>
      <c r="CG57"/>
      <c r="CH57"/>
      <c r="CI57"/>
      <c r="CJ57"/>
      <c r="CK57"/>
      <c r="CL57"/>
      <c r="CM57"/>
      <c r="CN57"/>
      <c r="CO57"/>
      <c r="CP57"/>
      <c r="CQ57"/>
      <c r="CR57"/>
      <c r="CS57"/>
      <c r="CT57"/>
      <c r="CU57"/>
    </row>
    <row r="58" spans="4:99" ht="12.75">
      <c r="D58" s="132" t="s">
        <v>16</v>
      </c>
      <c r="E58" s="132"/>
      <c r="J58" s="133" t="s">
        <v>18</v>
      </c>
      <c r="K58" s="133" t="s">
        <v>19</v>
      </c>
      <c r="L58" s="133" t="s">
        <v>5</v>
      </c>
      <c r="M58" s="133" t="s">
        <v>2</v>
      </c>
      <c r="N58" s="133" t="s">
        <v>17</v>
      </c>
      <c r="O58" s="133" t="s">
        <v>2</v>
      </c>
      <c r="P58" s="133" t="s">
        <v>17</v>
      </c>
      <c r="Q58" s="133" t="s">
        <v>2</v>
      </c>
      <c r="R58" s="133" t="s">
        <v>17</v>
      </c>
      <c r="W58" s="133" t="s">
        <v>84</v>
      </c>
      <c r="AC58" s="134">
        <v>1</v>
      </c>
      <c r="AD58" s="135">
        <v>2</v>
      </c>
      <c r="AE58" s="135">
        <v>3</v>
      </c>
      <c r="AF58" s="135">
        <v>4</v>
      </c>
      <c r="AG58" s="135">
        <v>5</v>
      </c>
      <c r="AH58" s="135">
        <v>6</v>
      </c>
      <c r="AI58" s="136">
        <v>1</v>
      </c>
      <c r="AJ58" s="136">
        <v>2</v>
      </c>
      <c r="AK58" s="136">
        <v>3</v>
      </c>
      <c r="AL58" s="136">
        <v>4</v>
      </c>
      <c r="AM58" s="136">
        <v>5</v>
      </c>
      <c r="AN58" s="136">
        <v>6</v>
      </c>
      <c r="AO58" s="137">
        <v>1</v>
      </c>
      <c r="AP58" s="137">
        <v>2</v>
      </c>
      <c r="AQ58" s="137">
        <v>3</v>
      </c>
      <c r="AR58" s="137">
        <v>4</v>
      </c>
      <c r="AS58" s="137">
        <v>5</v>
      </c>
      <c r="AT58" s="137">
        <v>6</v>
      </c>
      <c r="AU58" s="138">
        <v>1</v>
      </c>
      <c r="AV58" s="138">
        <v>2</v>
      </c>
      <c r="AW58" s="138">
        <v>3</v>
      </c>
      <c r="AX58" s="138">
        <v>4</v>
      </c>
      <c r="AY58" s="138">
        <v>5</v>
      </c>
      <c r="AZ58" s="138">
        <v>6</v>
      </c>
      <c r="BA58" s="139">
        <v>1</v>
      </c>
      <c r="BB58" s="139">
        <v>2</v>
      </c>
      <c r="BC58" s="139">
        <v>3</v>
      </c>
      <c r="BD58" s="139">
        <v>4</v>
      </c>
      <c r="BE58" s="139">
        <v>5</v>
      </c>
      <c r="BF58" s="139">
        <v>6</v>
      </c>
      <c r="BG58" s="140">
        <v>1</v>
      </c>
      <c r="BH58" s="140">
        <v>2</v>
      </c>
      <c r="BI58" s="140">
        <v>3</v>
      </c>
      <c r="BJ58" s="116"/>
      <c r="BK58" s="173"/>
      <c r="BL58" s="133"/>
      <c r="BW58" s="76"/>
      <c r="BX58" s="77"/>
      <c r="BY58" s="78"/>
      <c r="BZ58" s="80" t="str">
        <f>CHOOSE(htfunits_temp,"°F maximum","°C maximum")</f>
        <v>°C maximum</v>
      </c>
      <c r="CA58" s="61"/>
      <c r="CB58" s="61" t="s">
        <v>124</v>
      </c>
      <c r="CC58" s="81">
        <v>97.8</v>
      </c>
      <c r="CE58"/>
      <c r="CF58"/>
      <c r="CG58"/>
      <c r="CH58"/>
      <c r="CI58"/>
      <c r="CJ58"/>
      <c r="CK58"/>
      <c r="CL58"/>
      <c r="CM58"/>
      <c r="CN58"/>
      <c r="CO58"/>
      <c r="CP58"/>
      <c r="CQ58"/>
      <c r="CR58"/>
      <c r="CS58"/>
      <c r="CT58"/>
      <c r="CU58"/>
    </row>
    <row r="59" spans="4:99" ht="12.75">
      <c r="D59" s="133" t="s">
        <v>161</v>
      </c>
      <c r="E59" s="133" t="s">
        <v>162</v>
      </c>
      <c r="I59" s="141"/>
      <c r="AC59" s="142"/>
      <c r="AD59" s="143"/>
      <c r="AE59" s="143"/>
      <c r="AF59" s="143"/>
      <c r="AG59" s="143"/>
      <c r="AH59" s="143"/>
      <c r="AI59" s="144"/>
      <c r="AJ59" s="144"/>
      <c r="AK59" s="144"/>
      <c r="AL59" s="144"/>
      <c r="AM59" s="144"/>
      <c r="AN59" s="144"/>
      <c r="AO59" s="145"/>
      <c r="AP59" s="145"/>
      <c r="AQ59" s="145"/>
      <c r="AR59" s="145"/>
      <c r="AS59" s="145"/>
      <c r="AT59" s="145"/>
      <c r="AU59" s="146"/>
      <c r="AV59" s="146"/>
      <c r="AW59" s="146"/>
      <c r="AX59" s="146"/>
      <c r="AY59" s="146"/>
      <c r="AZ59" s="146"/>
      <c r="BA59" s="147"/>
      <c r="BB59" s="147"/>
      <c r="BC59" s="147"/>
      <c r="BD59" s="147"/>
      <c r="BE59" s="147"/>
      <c r="BF59" s="147"/>
      <c r="BG59" s="148"/>
      <c r="BH59" s="148"/>
      <c r="BI59" s="148"/>
      <c r="BJ59" s="169"/>
      <c r="BK59" s="170"/>
      <c r="BW59" s="82" t="s">
        <v>125</v>
      </c>
      <c r="BX59" s="61"/>
      <c r="BY59" s="83" t="s">
        <v>470</v>
      </c>
      <c r="BZ59" s="61"/>
      <c r="CA59" s="61"/>
      <c r="CB59" s="61" t="s">
        <v>456</v>
      </c>
      <c r="CC59" s="81">
        <v>60.1</v>
      </c>
      <c r="CE59"/>
      <c r="CF59"/>
      <c r="CG59"/>
      <c r="CH59"/>
      <c r="CI59"/>
      <c r="CJ59"/>
      <c r="CK59"/>
      <c r="CL59"/>
      <c r="CM59"/>
      <c r="CN59"/>
      <c r="CO59"/>
      <c r="CP59"/>
      <c r="CQ59"/>
      <c r="CR59"/>
      <c r="CS59"/>
      <c r="CT59"/>
      <c r="CU59"/>
    </row>
    <row r="60" spans="1:99" s="61" customFormat="1" ht="12.75" customHeight="1">
      <c r="A60" s="149"/>
      <c r="B60" s="150"/>
      <c r="C60" s="150"/>
      <c r="D60" s="150"/>
      <c r="E60" s="150"/>
      <c r="F60" s="150"/>
      <c r="G60" s="150"/>
      <c r="H60" s="150"/>
      <c r="I60" s="150"/>
      <c r="J60" s="150"/>
      <c r="K60" s="150"/>
      <c r="L60" s="150"/>
      <c r="M60" s="150"/>
      <c r="N60" s="150"/>
      <c r="O60" s="150"/>
      <c r="P60" s="150"/>
      <c r="Q60" s="150"/>
      <c r="R60" s="151"/>
      <c r="S60" s="150"/>
      <c r="T60" s="150"/>
      <c r="U60" s="150"/>
      <c r="V60" s="151"/>
      <c r="W60" s="151"/>
      <c r="X60" s="51"/>
      <c r="Y60" s="51"/>
      <c r="Z60" s="51"/>
      <c r="AA60" s="51"/>
      <c r="AB60" s="51"/>
      <c r="AC60" s="152"/>
      <c r="AD60" s="153"/>
      <c r="AE60" s="153"/>
      <c r="AF60" s="153"/>
      <c r="AG60" s="153"/>
      <c r="AH60" s="153"/>
      <c r="AI60" s="154"/>
      <c r="AJ60" s="154"/>
      <c r="AK60" s="154"/>
      <c r="AL60" s="154"/>
      <c r="AM60" s="154"/>
      <c r="AN60" s="154"/>
      <c r="AO60" s="155"/>
      <c r="AP60" s="155"/>
      <c r="AQ60" s="155"/>
      <c r="AR60" s="155"/>
      <c r="AS60" s="155"/>
      <c r="AT60" s="155"/>
      <c r="AU60" s="156"/>
      <c r="AV60" s="156"/>
      <c r="AW60" s="156"/>
      <c r="AX60" s="156"/>
      <c r="AY60" s="156"/>
      <c r="AZ60" s="156"/>
      <c r="BA60" s="157"/>
      <c r="BB60" s="157"/>
      <c r="BC60" s="157"/>
      <c r="BD60" s="157"/>
      <c r="BE60" s="157"/>
      <c r="BF60" s="157"/>
      <c r="BG60" s="158"/>
      <c r="BH60" s="158"/>
      <c r="BI60" s="158"/>
      <c r="BJ60" s="159"/>
      <c r="BK60" s="170"/>
      <c r="BW60" s="85"/>
      <c r="BX60" s="77"/>
      <c r="BY60" s="77"/>
      <c r="BZ60" s="77"/>
      <c r="CA60" s="77"/>
      <c r="CB60" s="77"/>
      <c r="CC60" s="86"/>
      <c r="CE60"/>
      <c r="CF60"/>
      <c r="CG60"/>
      <c r="CH60"/>
      <c r="CI60"/>
      <c r="CJ60"/>
      <c r="CK60"/>
      <c r="CL60"/>
      <c r="CM60"/>
      <c r="CN60"/>
      <c r="CO60"/>
      <c r="CP60"/>
      <c r="CQ60"/>
      <c r="CR60"/>
      <c r="CS60"/>
      <c r="CT60"/>
      <c r="CU60"/>
    </row>
    <row r="61" spans="1:99" s="61" customFormat="1" ht="12.75" customHeight="1">
      <c r="A61" s="160" t="s">
        <v>100</v>
      </c>
      <c r="B61" s="161">
        <v>0</v>
      </c>
      <c r="C61" s="161" t="s">
        <v>469</v>
      </c>
      <c r="D61" s="161">
        <v>0</v>
      </c>
      <c r="E61" s="161">
        <v>0</v>
      </c>
      <c r="F61" s="161"/>
      <c r="G61" s="161">
        <v>7.612801041805566</v>
      </c>
      <c r="H61" s="161">
        <v>1673.3465029913282</v>
      </c>
      <c r="I61" s="161">
        <v>235.65392330087</v>
      </c>
      <c r="J61" s="161">
        <v>-1.7787569746901686</v>
      </c>
      <c r="K61" s="161">
        <v>139.62822201119008</v>
      </c>
      <c r="L61" s="161">
        <v>-239.50733872149445</v>
      </c>
      <c r="M61" s="161">
        <v>-1</v>
      </c>
      <c r="N61" s="161">
        <v>1068.666666666667</v>
      </c>
      <c r="O61" s="161">
        <v>0</v>
      </c>
      <c r="P61" s="161">
        <v>0.171342765</v>
      </c>
      <c r="Q61" s="161">
        <v>0.003839893714285715</v>
      </c>
      <c r="R61" s="162">
        <v>1.9544381142857141</v>
      </c>
      <c r="S61" s="161">
        <v>39</v>
      </c>
      <c r="T61" s="161">
        <v>118.1</v>
      </c>
      <c r="U61" s="161"/>
      <c r="V61" s="162">
        <v>60.05</v>
      </c>
      <c r="W61" s="162">
        <v>395</v>
      </c>
      <c r="X61" s="51"/>
      <c r="Y61" s="51"/>
      <c r="Z61" s="51"/>
      <c r="AA61" s="51"/>
      <c r="AB61" s="51"/>
      <c r="AC61" s="152">
        <v>0</v>
      </c>
      <c r="AD61" s="153">
        <v>20</v>
      </c>
      <c r="AE61" s="153">
        <v>40</v>
      </c>
      <c r="AF61" s="153">
        <v>60</v>
      </c>
      <c r="AG61" s="153">
        <v>80</v>
      </c>
      <c r="AH61" s="153">
        <v>100</v>
      </c>
      <c r="AI61" s="154">
        <v>1068.6666666666667</v>
      </c>
      <c r="AJ61" s="154">
        <v>1048.6666666666667</v>
      </c>
      <c r="AK61" s="154">
        <v>1028.6666666666667</v>
      </c>
      <c r="AL61" s="154">
        <v>1008.6666666666667</v>
      </c>
      <c r="AM61" s="154">
        <v>988.6666666666667</v>
      </c>
      <c r="AN61" s="154">
        <v>968.6666666666667</v>
      </c>
      <c r="AO61" s="155">
        <v>1.9594224</v>
      </c>
      <c r="AP61" s="155">
        <v>2.030598</v>
      </c>
      <c r="AQ61" s="155">
        <v>2.1059604</v>
      </c>
      <c r="AR61" s="155">
        <v>2.177136</v>
      </c>
      <c r="AS61" s="155">
        <v>2.260872</v>
      </c>
      <c r="AT61" s="155">
        <v>2.344608</v>
      </c>
      <c r="AU61" s="156">
        <v>0.171342765</v>
      </c>
      <c r="AV61" s="156">
        <v>0.171342765</v>
      </c>
      <c r="AW61" s="156">
        <v>0.171342765</v>
      </c>
      <c r="AX61" s="156">
        <v>0.171342765</v>
      </c>
      <c r="AY61" s="156">
        <v>0.171342765</v>
      </c>
      <c r="AZ61" s="156">
        <v>0.171342765</v>
      </c>
      <c r="BA61" s="157">
        <v>1.8</v>
      </c>
      <c r="BB61" s="157">
        <v>2.28</v>
      </c>
      <c r="BC61" s="157">
        <v>0.95</v>
      </c>
      <c r="BD61" s="157">
        <v>0.75</v>
      </c>
      <c r="BE61" s="157">
        <v>0.6</v>
      </c>
      <c r="BF61" s="157">
        <v>0.48</v>
      </c>
      <c r="BG61" s="158">
        <v>11.68</v>
      </c>
      <c r="BH61" s="158">
        <v>89.74</v>
      </c>
      <c r="BI61" s="158">
        <v>424.1</v>
      </c>
      <c r="BJ61" s="159" t="s">
        <v>470</v>
      </c>
      <c r="BK61" s="170"/>
      <c r="BW61" s="85"/>
      <c r="BX61" s="77"/>
      <c r="BY61" s="77"/>
      <c r="BZ61" s="77"/>
      <c r="CA61" s="77"/>
      <c r="CB61" s="77"/>
      <c r="CC61" s="86"/>
      <c r="CE61"/>
      <c r="CF61"/>
      <c r="CG61"/>
      <c r="CH61"/>
      <c r="CI61"/>
      <c r="CJ61"/>
      <c r="CK61"/>
      <c r="CL61"/>
      <c r="CM61"/>
      <c r="CN61"/>
      <c r="CO61"/>
      <c r="CP61"/>
      <c r="CQ61"/>
      <c r="CR61"/>
      <c r="CS61"/>
      <c r="CT61"/>
      <c r="CU61"/>
    </row>
    <row r="62" spans="1:99" s="61" customFormat="1" ht="12.75" customHeight="1">
      <c r="A62" s="160" t="s">
        <v>641</v>
      </c>
      <c r="B62" s="161">
        <v>0</v>
      </c>
      <c r="C62" s="161" t="s">
        <v>469</v>
      </c>
      <c r="D62" s="161">
        <v>0</v>
      </c>
      <c r="E62" s="161">
        <v>0</v>
      </c>
      <c r="F62" s="161"/>
      <c r="G62" s="161">
        <v>6.832505648324677</v>
      </c>
      <c r="H62" s="161">
        <v>946.4096140514168</v>
      </c>
      <c r="I62" s="161">
        <v>240.0761026727125</v>
      </c>
      <c r="J62" s="161">
        <v>-5.368950696651058</v>
      </c>
      <c r="K62" s="161">
        <v>1681.6871418008052</v>
      </c>
      <c r="L62" s="161">
        <v>167.1521732503896</v>
      </c>
      <c r="M62" s="161">
        <v>-1.031863771556504</v>
      </c>
      <c r="N62" s="161">
        <v>601.6370106878105</v>
      </c>
      <c r="O62" s="161">
        <v>-0.0005017792329999997</v>
      </c>
      <c r="P62" s="161">
        <v>0.11678845392385835</v>
      </c>
      <c r="Q62" s="161">
        <v>0.003501872195671029</v>
      </c>
      <c r="R62" s="162">
        <v>2.303072019874337</v>
      </c>
      <c r="S62" s="161">
        <v>-59.44444444444444</v>
      </c>
      <c r="T62" s="161">
        <v>-0.4444444444444448</v>
      </c>
      <c r="U62" s="161"/>
      <c r="V62" s="162">
        <v>58.123</v>
      </c>
      <c r="W62" s="162">
        <v>386.116</v>
      </c>
      <c r="X62" s="51"/>
      <c r="Y62" s="51"/>
      <c r="Z62" s="51"/>
      <c r="AA62" s="51"/>
      <c r="AB62" s="51"/>
      <c r="AC62" s="152">
        <v>-60</v>
      </c>
      <c r="AD62" s="153">
        <v>-40</v>
      </c>
      <c r="AE62" s="153">
        <v>-30</v>
      </c>
      <c r="AF62" s="153">
        <v>-20</v>
      </c>
      <c r="AG62" s="153">
        <v>-10</v>
      </c>
      <c r="AH62" s="153">
        <v>10</v>
      </c>
      <c r="AI62" s="154">
        <v>662.6555257386887</v>
      </c>
      <c r="AJ62" s="154">
        <v>643.1987777327236</v>
      </c>
      <c r="AK62" s="154">
        <v>633.1549750028175</v>
      </c>
      <c r="AL62" s="154">
        <v>622.8756172768828</v>
      </c>
      <c r="AM62" s="154">
        <v>612.3380982219977</v>
      </c>
      <c r="AN62" s="154">
        <v>590.3786358872279</v>
      </c>
      <c r="AO62" s="155">
        <v>2.1024495745513563</v>
      </c>
      <c r="AP62" s="155">
        <v>2.1602883024644894</v>
      </c>
      <c r="AQ62" s="155">
        <v>2.1920702622867196</v>
      </c>
      <c r="AR62" s="155">
        <v>2.226342241085947</v>
      </c>
      <c r="AS62" s="155">
        <v>2.263540455162087</v>
      </c>
      <c r="AT62" s="155">
        <v>2.3484604543447687</v>
      </c>
      <c r="AU62" s="156">
        <v>0.146709740570525</v>
      </c>
      <c r="AV62" s="156">
        <v>0.136927065910525</v>
      </c>
      <c r="AW62" s="156">
        <v>0.131959855580525</v>
      </c>
      <c r="AX62" s="156">
        <v>0.126942063250525</v>
      </c>
      <c r="AY62" s="156">
        <v>0.12187368892052503</v>
      </c>
      <c r="AZ62" s="156">
        <v>0.11158519426052502</v>
      </c>
      <c r="BA62" s="157">
        <v>0.39619533361497766</v>
      </c>
      <c r="BB62" s="157">
        <v>0.3110173905694444</v>
      </c>
      <c r="BC62" s="157">
        <v>0.2803807985474543</v>
      </c>
      <c r="BD62" s="157">
        <v>0.25466346467282347</v>
      </c>
      <c r="BE62" s="157">
        <v>0.23247115882262773</v>
      </c>
      <c r="BF62" s="157">
        <v>0.19507407675423633</v>
      </c>
      <c r="BG62" s="158">
        <v>126.54864538533486</v>
      </c>
      <c r="BH62" s="158">
        <v>340.5111654238523</v>
      </c>
      <c r="BI62" s="158">
        <v>1116.9127027684378</v>
      </c>
      <c r="BJ62" s="159" t="s">
        <v>656</v>
      </c>
      <c r="BK62" s="170"/>
      <c r="BW62" s="85"/>
      <c r="BX62" s="77"/>
      <c r="BY62" s="77"/>
      <c r="BZ62" s="77"/>
      <c r="CA62" s="77"/>
      <c r="CB62" s="77"/>
      <c r="CC62" s="86"/>
      <c r="CE62"/>
      <c r="CF62"/>
      <c r="CG62"/>
      <c r="CH62"/>
      <c r="CI62"/>
      <c r="CJ62"/>
      <c r="CK62"/>
      <c r="CL62"/>
      <c r="CM62"/>
      <c r="CN62"/>
      <c r="CO62"/>
      <c r="CP62"/>
      <c r="CQ62"/>
      <c r="CR62"/>
      <c r="CS62"/>
      <c r="CT62"/>
      <c r="CU62"/>
    </row>
    <row r="63" spans="1:99" s="61" customFormat="1" ht="12.75" customHeight="1">
      <c r="A63" s="160" t="s">
        <v>468</v>
      </c>
      <c r="B63" s="161">
        <v>0</v>
      </c>
      <c r="C63" s="161" t="s">
        <v>469</v>
      </c>
      <c r="D63" s="161">
        <v>0</v>
      </c>
      <c r="E63" s="161">
        <v>0</v>
      </c>
      <c r="F63" s="161"/>
      <c r="G63" s="161">
        <v>7.911635484599227</v>
      </c>
      <c r="H63" s="161">
        <v>1619.0414007868353</v>
      </c>
      <c r="I63" s="161">
        <v>204.0887995323239</v>
      </c>
      <c r="J63" s="161">
        <v>-9.940172184544132</v>
      </c>
      <c r="K63" s="161">
        <v>4947.168857868904</v>
      </c>
      <c r="L63" s="161">
        <v>156.39307039353338</v>
      </c>
      <c r="M63" s="161">
        <v>-0.8</v>
      </c>
      <c r="N63" s="161">
        <v>810</v>
      </c>
      <c r="O63" s="161">
        <v>-0.00017307350000000024</v>
      </c>
      <c r="P63" s="161">
        <v>0.17480423499999997</v>
      </c>
      <c r="Q63" s="161">
        <v>0.011693134285714286</v>
      </c>
      <c r="R63" s="162">
        <v>2.091406285714285</v>
      </c>
      <c r="S63" s="161">
        <v>29</v>
      </c>
      <c r="T63" s="161">
        <v>117.5</v>
      </c>
      <c r="U63" s="161"/>
      <c r="V63" s="162">
        <v>74.12</v>
      </c>
      <c r="W63" s="162">
        <v>581</v>
      </c>
      <c r="X63" s="51"/>
      <c r="Y63" s="51"/>
      <c r="Z63" s="51"/>
      <c r="AA63" s="51"/>
      <c r="AB63" s="51"/>
      <c r="AC63" s="152">
        <v>0</v>
      </c>
      <c r="AD63" s="153">
        <v>20</v>
      </c>
      <c r="AE63" s="153">
        <v>40</v>
      </c>
      <c r="AF63" s="153">
        <v>60</v>
      </c>
      <c r="AG63" s="153">
        <v>80</v>
      </c>
      <c r="AH63" s="153">
        <v>100</v>
      </c>
      <c r="AI63" s="154">
        <v>0</v>
      </c>
      <c r="AJ63" s="154">
        <v>0</v>
      </c>
      <c r="AK63" s="154">
        <v>0</v>
      </c>
      <c r="AL63" s="154">
        <v>0</v>
      </c>
      <c r="AM63" s="154">
        <v>0</v>
      </c>
      <c r="AN63" s="154">
        <v>0</v>
      </c>
      <c r="AO63" s="155">
        <v>2.0934</v>
      </c>
      <c r="AP63" s="155">
        <v>2.323674</v>
      </c>
      <c r="AQ63" s="155">
        <v>2.5539479999999997</v>
      </c>
      <c r="AR63" s="155">
        <v>2.805156</v>
      </c>
      <c r="AS63" s="155">
        <v>3.014496</v>
      </c>
      <c r="AT63" s="155">
        <v>3.265704</v>
      </c>
      <c r="AU63" s="156">
        <v>0.174804235</v>
      </c>
      <c r="AV63" s="156">
        <v>0.171342765</v>
      </c>
      <c r="AW63" s="156">
        <v>0.16788129499999999</v>
      </c>
      <c r="AX63" s="156">
        <v>0.164419825</v>
      </c>
      <c r="AY63" s="156">
        <v>0.160958355</v>
      </c>
      <c r="AZ63" s="156">
        <v>0.15749688499999998</v>
      </c>
      <c r="BA63" s="157">
        <v>4.7</v>
      </c>
      <c r="BB63" s="157">
        <v>2.9</v>
      </c>
      <c r="BC63" s="157">
        <v>1.8</v>
      </c>
      <c r="BD63" s="157">
        <v>1.18</v>
      </c>
      <c r="BE63" s="157">
        <v>0.79</v>
      </c>
      <c r="BF63" s="157">
        <v>0.55</v>
      </c>
      <c r="BG63" s="158">
        <v>4.86</v>
      </c>
      <c r="BH63" s="158">
        <v>60.39</v>
      </c>
      <c r="BI63" s="158">
        <v>386.72</v>
      </c>
      <c r="BJ63" s="159" t="s">
        <v>470</v>
      </c>
      <c r="BK63" s="170"/>
      <c r="BW63" s="85"/>
      <c r="BX63" s="77"/>
      <c r="BY63" s="77"/>
      <c r="BZ63" s="77"/>
      <c r="CA63" s="77"/>
      <c r="CB63" s="77"/>
      <c r="CC63" s="86"/>
      <c r="CE63"/>
      <c r="CF63"/>
      <c r="CG63"/>
      <c r="CH63"/>
      <c r="CI63"/>
      <c r="CJ63"/>
      <c r="CK63"/>
      <c r="CL63"/>
      <c r="CM63"/>
      <c r="CN63"/>
      <c r="CO63"/>
      <c r="CP63"/>
      <c r="CQ63"/>
      <c r="CR63"/>
      <c r="CS63"/>
      <c r="CT63"/>
      <c r="CU63"/>
    </row>
    <row r="64" spans="1:99" s="61" customFormat="1" ht="12.75" customHeight="1">
      <c r="A64" s="160" t="s">
        <v>163</v>
      </c>
      <c r="B64" s="161" t="s">
        <v>164</v>
      </c>
      <c r="C64" s="161" t="s">
        <v>165</v>
      </c>
      <c r="D64" s="161">
        <v>15</v>
      </c>
      <c r="E64" s="161">
        <v>315</v>
      </c>
      <c r="F64" s="161"/>
      <c r="G64" s="161">
        <v>2.2623034167574443</v>
      </c>
      <c r="H64" s="161">
        <v>59.86061987663221</v>
      </c>
      <c r="I64" s="161">
        <v>-25.955805107330608</v>
      </c>
      <c r="J64" s="161">
        <v>-2.810123631345976</v>
      </c>
      <c r="K64" s="161">
        <v>862.7299165578902</v>
      </c>
      <c r="L64" s="161">
        <v>-172.15858798187207</v>
      </c>
      <c r="M64" s="161">
        <v>-0.6188667869816336</v>
      </c>
      <c r="N64" s="161">
        <v>876.7097414604734</v>
      </c>
      <c r="O64" s="161">
        <v>-5.396944027136873E-05</v>
      </c>
      <c r="P64" s="161">
        <v>0.14366313807487086</v>
      </c>
      <c r="Q64" s="161">
        <v>0.0032984660330654275</v>
      </c>
      <c r="R64" s="162">
        <v>1.8370191147510926</v>
      </c>
      <c r="S64" s="161">
        <v>225</v>
      </c>
      <c r="T64" s="161">
        <v>365</v>
      </c>
      <c r="U64" s="161" t="s">
        <v>166</v>
      </c>
      <c r="V64" s="162"/>
      <c r="W64" s="162"/>
      <c r="X64" s="51"/>
      <c r="Y64" s="51"/>
      <c r="Z64" s="51"/>
      <c r="AA64" s="51"/>
      <c r="AB64" s="51"/>
      <c r="AC64" s="152">
        <v>15</v>
      </c>
      <c r="AD64" s="153">
        <v>40</v>
      </c>
      <c r="AE64" s="153">
        <v>40</v>
      </c>
      <c r="AF64" s="153">
        <v>100</v>
      </c>
      <c r="AG64" s="153">
        <v>260</v>
      </c>
      <c r="AH64" s="153">
        <v>316</v>
      </c>
      <c r="AI64" s="154">
        <v>866.598686</v>
      </c>
      <c r="AJ64" s="154">
        <v>852.1820720000001</v>
      </c>
      <c r="AK64" s="154">
        <v>852.1820720000001</v>
      </c>
      <c r="AL64" s="154">
        <v>815.339614</v>
      </c>
      <c r="AM64" s="154">
        <v>716.0251620000001</v>
      </c>
      <c r="AN64" s="154">
        <v>680.7845500000001</v>
      </c>
      <c r="AO64" s="155">
        <v>1.88406</v>
      </c>
      <c r="AP64" s="155">
        <v>1.9677959999999999</v>
      </c>
      <c r="AQ64" s="155">
        <v>1.9677959999999999</v>
      </c>
      <c r="AR64" s="155">
        <v>2.177136</v>
      </c>
      <c r="AS64" s="155">
        <v>2.679552</v>
      </c>
      <c r="AT64" s="155">
        <v>2.888892</v>
      </c>
      <c r="AU64" s="156">
        <v>0.14192027</v>
      </c>
      <c r="AV64" s="156">
        <v>0.14192027</v>
      </c>
      <c r="AW64" s="156">
        <v>0.14192027</v>
      </c>
      <c r="AX64" s="156">
        <v>0.1384588</v>
      </c>
      <c r="AY64" s="156">
        <v>0.129805125</v>
      </c>
      <c r="AZ64" s="156">
        <v>0.126343655</v>
      </c>
      <c r="BA64" s="157">
        <v>0</v>
      </c>
      <c r="BB64" s="157">
        <v>27.355044511200003</v>
      </c>
      <c r="BC64" s="157">
        <v>0</v>
      </c>
      <c r="BD64" s="157">
        <v>4.4028339156000005</v>
      </c>
      <c r="BE64" s="157">
        <v>0</v>
      </c>
      <c r="BF64" s="157">
        <v>0.47654918500000004</v>
      </c>
      <c r="BG64" s="158">
        <v>0.01</v>
      </c>
      <c r="BH64" s="158">
        <v>28.435374149659868</v>
      </c>
      <c r="BI64" s="158">
        <v>113.74149659863947</v>
      </c>
      <c r="BJ64" s="159" t="s">
        <v>167</v>
      </c>
      <c r="BK64" s="170"/>
      <c r="BW64" s="85"/>
      <c r="BX64" s="77"/>
      <c r="BY64" s="77"/>
      <c r="BZ64" s="77"/>
      <c r="CA64" s="77"/>
      <c r="CB64" s="77"/>
      <c r="CC64" s="86"/>
      <c r="CE64"/>
      <c r="CF64"/>
      <c r="CG64"/>
      <c r="CH64"/>
      <c r="CI64"/>
      <c r="CJ64"/>
      <c r="CK64"/>
      <c r="CL64"/>
      <c r="CM64"/>
      <c r="CN64"/>
      <c r="CO64"/>
      <c r="CP64"/>
      <c r="CQ64"/>
      <c r="CR64"/>
      <c r="CS64"/>
      <c r="CT64"/>
      <c r="CU64"/>
    </row>
    <row r="65" spans="1:99" s="61" customFormat="1" ht="12.75" customHeight="1">
      <c r="A65" s="160" t="s">
        <v>168</v>
      </c>
      <c r="B65" s="161" t="s">
        <v>164</v>
      </c>
      <c r="C65" s="161" t="s">
        <v>165</v>
      </c>
      <c r="D65" s="161">
        <v>15</v>
      </c>
      <c r="E65" s="161">
        <v>326</v>
      </c>
      <c r="F65" s="161"/>
      <c r="G65" s="161">
        <v>2.1457174934405283</v>
      </c>
      <c r="H65" s="161">
        <v>63.31608756510028</v>
      </c>
      <c r="I65" s="161">
        <v>-24.72735113637608</v>
      </c>
      <c r="J65" s="161">
        <v>-3.019491712904303</v>
      </c>
      <c r="K65" s="161">
        <v>971.1670360586756</v>
      </c>
      <c r="L65" s="161">
        <v>-162.44188779282624</v>
      </c>
      <c r="M65" s="161">
        <v>-0.637047442923937</v>
      </c>
      <c r="N65" s="161">
        <v>880.3808274157259</v>
      </c>
      <c r="O65" s="161">
        <v>-5.2403882223512525E-05</v>
      </c>
      <c r="P65" s="161">
        <v>0.14403887553238803</v>
      </c>
      <c r="Q65" s="161">
        <v>0.0032984660330654275</v>
      </c>
      <c r="R65" s="162">
        <v>1.8370191147510926</v>
      </c>
      <c r="S65" s="161">
        <v>231</v>
      </c>
      <c r="T65" s="161">
        <v>370</v>
      </c>
      <c r="U65" s="161" t="s">
        <v>166</v>
      </c>
      <c r="V65" s="162"/>
      <c r="W65" s="162"/>
      <c r="X65" s="51"/>
      <c r="Y65" s="51"/>
      <c r="Z65" s="51"/>
      <c r="AA65" s="51"/>
      <c r="AB65" s="51"/>
      <c r="AC65" s="152">
        <v>15</v>
      </c>
      <c r="AD65" s="153">
        <v>40</v>
      </c>
      <c r="AE65" s="153">
        <v>40</v>
      </c>
      <c r="AF65" s="153">
        <v>100</v>
      </c>
      <c r="AG65" s="153">
        <v>260</v>
      </c>
      <c r="AH65" s="153">
        <v>316</v>
      </c>
      <c r="AI65" s="154">
        <v>869.802378</v>
      </c>
      <c r="AJ65" s="154">
        <v>855.385764</v>
      </c>
      <c r="AK65" s="154">
        <v>855.385764</v>
      </c>
      <c r="AL65" s="154">
        <v>816.94146</v>
      </c>
      <c r="AM65" s="154">
        <v>714.4233160000001</v>
      </c>
      <c r="AN65" s="154">
        <v>679.1827040000001</v>
      </c>
      <c r="AO65" s="155">
        <v>1.88406</v>
      </c>
      <c r="AP65" s="155">
        <v>1.9677959999999999</v>
      </c>
      <c r="AQ65" s="155">
        <v>1.9677959999999999</v>
      </c>
      <c r="AR65" s="155">
        <v>2.177136</v>
      </c>
      <c r="AS65" s="155">
        <v>2.679552</v>
      </c>
      <c r="AT65" s="155">
        <v>2.888892</v>
      </c>
      <c r="AU65" s="156">
        <v>0.143651005</v>
      </c>
      <c r="AV65" s="156">
        <v>0.14192027</v>
      </c>
      <c r="AW65" s="156">
        <v>0.14192027</v>
      </c>
      <c r="AX65" s="156">
        <v>0.1384588</v>
      </c>
      <c r="AY65" s="156">
        <v>0.129805125</v>
      </c>
      <c r="AZ65" s="156">
        <v>0.12807438999999998</v>
      </c>
      <c r="BA65" s="157">
        <v>0</v>
      </c>
      <c r="BB65" s="157">
        <v>30.7083489276</v>
      </c>
      <c r="BC65" s="157">
        <v>0</v>
      </c>
      <c r="BD65" s="157">
        <v>4.90164876</v>
      </c>
      <c r="BE65" s="157">
        <v>0</v>
      </c>
      <c r="BF65" s="157">
        <v>0.4754278928</v>
      </c>
      <c r="BG65" s="158">
        <v>0.01</v>
      </c>
      <c r="BH65" s="158">
        <v>20.16326530612245</v>
      </c>
      <c r="BI65" s="158">
        <v>84.7891156462585</v>
      </c>
      <c r="BJ65" s="159" t="s">
        <v>169</v>
      </c>
      <c r="BK65" s="170"/>
      <c r="BW65" s="85"/>
      <c r="BX65" s="77"/>
      <c r="BY65" s="77"/>
      <c r="BZ65" s="77"/>
      <c r="CA65" s="77"/>
      <c r="CB65" s="77"/>
      <c r="CC65" s="86"/>
      <c r="CE65"/>
      <c r="CF65"/>
      <c r="CG65"/>
      <c r="CH65"/>
      <c r="CI65"/>
      <c r="CJ65"/>
      <c r="CK65"/>
      <c r="CL65"/>
      <c r="CM65"/>
      <c r="CN65"/>
      <c r="CO65"/>
      <c r="CP65"/>
      <c r="CQ65"/>
      <c r="CR65"/>
      <c r="CS65"/>
      <c r="CT65"/>
      <c r="CU65"/>
    </row>
    <row r="66" spans="1:99" s="61" customFormat="1" ht="12.75" customHeight="1">
      <c r="A66" s="160" t="s">
        <v>170</v>
      </c>
      <c r="B66" s="161" t="s">
        <v>164</v>
      </c>
      <c r="C66" s="161" t="s">
        <v>171</v>
      </c>
      <c r="D66" s="161">
        <v>4</v>
      </c>
      <c r="E66" s="161">
        <v>288</v>
      </c>
      <c r="F66" s="161"/>
      <c r="G66" s="161">
        <v>-3.0769904082154964</v>
      </c>
      <c r="H66" s="161">
        <v>295.8073504993946</v>
      </c>
      <c r="I66" s="161">
        <v>-314.661081698516</v>
      </c>
      <c r="J66" s="161">
        <v>-2.9443273592381263</v>
      </c>
      <c r="K66" s="161">
        <v>771.2802080223228</v>
      </c>
      <c r="L66" s="161">
        <v>-150.4749360823019</v>
      </c>
      <c r="M66" s="161">
        <v>-0.6589658309966492</v>
      </c>
      <c r="N66" s="161">
        <v>829.7925355271008</v>
      </c>
      <c r="O66" s="161">
        <v>-8.582608094080542E-05</v>
      </c>
      <c r="P66" s="161">
        <v>0.14349420297877932</v>
      </c>
      <c r="Q66" s="161">
        <v>0.00360723311214769</v>
      </c>
      <c r="R66" s="162">
        <v>1.9915040541357332</v>
      </c>
      <c r="S66" s="161">
        <v>176</v>
      </c>
      <c r="T66" s="161">
        <v>318</v>
      </c>
      <c r="U66" s="161"/>
      <c r="V66" s="162"/>
      <c r="W66" s="162"/>
      <c r="X66" s="51"/>
      <c r="Y66" s="51"/>
      <c r="Z66" s="51"/>
      <c r="AA66" s="51"/>
      <c r="AB66" s="51"/>
      <c r="AC66" s="152">
        <v>15</v>
      </c>
      <c r="AD66" s="153">
        <v>40</v>
      </c>
      <c r="AE66" s="153">
        <v>40</v>
      </c>
      <c r="AF66" s="153">
        <v>100</v>
      </c>
      <c r="AG66" s="153">
        <v>260</v>
      </c>
      <c r="AH66" s="153">
        <v>260</v>
      </c>
      <c r="AI66" s="154">
        <v>818.543306</v>
      </c>
      <c r="AJ66" s="154">
        <v>804.126692</v>
      </c>
      <c r="AK66" s="154">
        <v>804.126692</v>
      </c>
      <c r="AL66" s="154">
        <v>764.0805420000002</v>
      </c>
      <c r="AM66" s="154">
        <v>658.3587060000001</v>
      </c>
      <c r="AN66" s="154">
        <v>658.3587060000001</v>
      </c>
      <c r="AO66" s="155">
        <v>2.051532</v>
      </c>
      <c r="AP66" s="155">
        <v>2.135268</v>
      </c>
      <c r="AQ66" s="155">
        <v>2.135268</v>
      </c>
      <c r="AR66" s="155">
        <v>2.344608</v>
      </c>
      <c r="AS66" s="155">
        <v>2.93076</v>
      </c>
      <c r="AT66" s="155">
        <v>2.93076</v>
      </c>
      <c r="AU66" s="156">
        <v>0.14192027</v>
      </c>
      <c r="AV66" s="156">
        <v>0.140189535</v>
      </c>
      <c r="AW66" s="156">
        <v>0.140189535</v>
      </c>
      <c r="AX66" s="156">
        <v>0.13499733</v>
      </c>
      <c r="AY66" s="156">
        <v>0.12115145000000001</v>
      </c>
      <c r="AZ66" s="156">
        <v>0.12115145000000001</v>
      </c>
      <c r="BA66" s="157">
        <v>0</v>
      </c>
      <c r="BB66" s="157">
        <v>6.03095019</v>
      </c>
      <c r="BC66" s="157">
        <v>0</v>
      </c>
      <c r="BD66" s="157">
        <v>1.6809771924000003</v>
      </c>
      <c r="BE66" s="157">
        <v>0</v>
      </c>
      <c r="BF66" s="157">
        <v>0.3950152236000001</v>
      </c>
      <c r="BG66" s="158">
        <v>0.01</v>
      </c>
      <c r="BH66" s="158">
        <v>0.02</v>
      </c>
      <c r="BI66" s="158">
        <v>216.10884353741497</v>
      </c>
      <c r="BJ66" s="159" t="s">
        <v>172</v>
      </c>
      <c r="BK66" s="170"/>
      <c r="BW66" s="85"/>
      <c r="BX66" s="77"/>
      <c r="BY66" s="77"/>
      <c r="BZ66" s="77"/>
      <c r="CA66" s="77"/>
      <c r="CB66" s="77"/>
      <c r="CC66" s="86"/>
      <c r="CE66"/>
      <c r="CF66"/>
      <c r="CG66"/>
      <c r="CH66"/>
      <c r="CI66"/>
      <c r="CJ66"/>
      <c r="CK66"/>
      <c r="CL66"/>
      <c r="CM66"/>
      <c r="CN66"/>
      <c r="CO66"/>
      <c r="CP66"/>
      <c r="CQ66"/>
      <c r="CR66"/>
      <c r="CS66"/>
      <c r="CT66"/>
      <c r="CU66"/>
    </row>
    <row r="67" spans="1:99" s="61" customFormat="1" ht="12.75" customHeight="1">
      <c r="A67" s="160" t="s">
        <v>173</v>
      </c>
      <c r="B67" s="161" t="s">
        <v>174</v>
      </c>
      <c r="C67" s="161" t="s">
        <v>175</v>
      </c>
      <c r="D67" s="161">
        <v>93.33333333333333</v>
      </c>
      <c r="E67" s="161">
        <v>315.55555555555554</v>
      </c>
      <c r="F67" s="161"/>
      <c r="G67" s="161">
        <v>-37.983771461336644</v>
      </c>
      <c r="H67" s="161">
        <v>123237.00692025025</v>
      </c>
      <c r="I67" s="161">
        <v>-3346.09701470412</v>
      </c>
      <c r="J67" s="161">
        <v>-2.720033969152038</v>
      </c>
      <c r="K67" s="161">
        <v>756.1805202077242</v>
      </c>
      <c r="L67" s="161">
        <v>-187.06059639562687</v>
      </c>
      <c r="M67" s="161">
        <v>-0.6343310159999997</v>
      </c>
      <c r="N67" s="161">
        <v>909.78445416</v>
      </c>
      <c r="O67" s="161">
        <v>-7.530180737142856E-05</v>
      </c>
      <c r="P67" s="161">
        <v>0.13260865196895236</v>
      </c>
      <c r="Q67" s="161">
        <v>0.0034882025142857144</v>
      </c>
      <c r="R67" s="162">
        <v>1.8539628891428572</v>
      </c>
      <c r="S67" s="161">
        <v>172.77777777777777</v>
      </c>
      <c r="T67" s="161">
        <v>273.3333333333333</v>
      </c>
      <c r="U67" s="161"/>
      <c r="V67" s="162"/>
      <c r="W67" s="162"/>
      <c r="X67" s="51"/>
      <c r="Y67" s="51"/>
      <c r="Z67" s="51"/>
      <c r="AA67" s="51"/>
      <c r="AB67" s="51"/>
      <c r="AC67" s="152">
        <v>37.77777777777778</v>
      </c>
      <c r="AD67" s="153">
        <v>93.33333333333333</v>
      </c>
      <c r="AE67" s="153">
        <v>148.88888888888889</v>
      </c>
      <c r="AF67" s="153">
        <v>204.44444444444443</v>
      </c>
      <c r="AG67" s="153">
        <v>260</v>
      </c>
      <c r="AH67" s="153">
        <v>315.55555555555554</v>
      </c>
      <c r="AI67" s="154">
        <v>885.820838</v>
      </c>
      <c r="AJ67" s="154">
        <v>850.580226</v>
      </c>
      <c r="AK67" s="154">
        <v>815.339614</v>
      </c>
      <c r="AL67" s="154">
        <v>780.099002</v>
      </c>
      <c r="AM67" s="154">
        <v>744.8583900000001</v>
      </c>
      <c r="AN67" s="154">
        <v>709.617778</v>
      </c>
      <c r="AO67" s="155">
        <v>2.009664</v>
      </c>
      <c r="AP67" s="155">
        <v>2.177136</v>
      </c>
      <c r="AQ67" s="155">
        <v>2.344608</v>
      </c>
      <c r="AR67" s="155">
        <v>2.5539479999999997</v>
      </c>
      <c r="AS67" s="155">
        <v>2.763288</v>
      </c>
      <c r="AT67" s="155">
        <v>2.972628</v>
      </c>
      <c r="AU67" s="156">
        <v>0.129805125</v>
      </c>
      <c r="AV67" s="156">
        <v>0.12547828749999998</v>
      </c>
      <c r="AW67" s="156">
        <v>0.12149759699999998</v>
      </c>
      <c r="AX67" s="156">
        <v>0.11717075949999999</v>
      </c>
      <c r="AY67" s="156">
        <v>0.1130169955</v>
      </c>
      <c r="AZ67" s="156">
        <v>0.10886323149999999</v>
      </c>
      <c r="BA67" s="157">
        <v>30.206490575800004</v>
      </c>
      <c r="BB67" s="157">
        <v>4.45704038424</v>
      </c>
      <c r="BC67" s="157">
        <v>1.65513941642</v>
      </c>
      <c r="BD67" s="157">
        <v>0.88931286228</v>
      </c>
      <c r="BE67" s="157">
        <v>0.5884381281000001</v>
      </c>
      <c r="BF67" s="157">
        <v>0.43286684458</v>
      </c>
      <c r="BG67" s="158">
        <v>0.8</v>
      </c>
      <c r="BH67" s="158">
        <v>17.5</v>
      </c>
      <c r="BI67" s="158">
        <v>480</v>
      </c>
      <c r="BJ67" s="159" t="s">
        <v>176</v>
      </c>
      <c r="BK67" s="170"/>
      <c r="BW67" s="85"/>
      <c r="BX67" s="77"/>
      <c r="BY67" s="77"/>
      <c r="BZ67" s="77"/>
      <c r="CA67" s="77"/>
      <c r="CB67" s="77"/>
      <c r="CC67" s="86"/>
      <c r="CE67"/>
      <c r="CF67"/>
      <c r="CG67"/>
      <c r="CH67"/>
      <c r="CI67"/>
      <c r="CJ67"/>
      <c r="CK67"/>
      <c r="CL67"/>
      <c r="CM67"/>
      <c r="CN67"/>
      <c r="CO67"/>
      <c r="CP67"/>
      <c r="CQ67"/>
      <c r="CR67"/>
      <c r="CS67"/>
      <c r="CT67"/>
      <c r="CU67"/>
    </row>
    <row r="68" spans="1:99" s="61" customFormat="1" ht="12.75" customHeight="1">
      <c r="A68" s="160" t="s">
        <v>177</v>
      </c>
      <c r="B68" s="161" t="s">
        <v>174</v>
      </c>
      <c r="C68" s="161" t="s">
        <v>178</v>
      </c>
      <c r="D68" s="161">
        <v>10</v>
      </c>
      <c r="E68" s="161">
        <v>343.3333333333333</v>
      </c>
      <c r="F68" s="161"/>
      <c r="G68" s="161">
        <v>9.485063876681568</v>
      </c>
      <c r="H68" s="161">
        <v>4973.223153188252</v>
      </c>
      <c r="I68" s="161">
        <v>486.54374686841976</v>
      </c>
      <c r="J68" s="161">
        <v>-3.8872361654414096</v>
      </c>
      <c r="K68" s="161">
        <v>1148.4153588153592</v>
      </c>
      <c r="L68" s="161">
        <v>-77.45889297426898</v>
      </c>
      <c r="M68" s="161">
        <v>-0.7967976979726028</v>
      </c>
      <c r="N68" s="161">
        <v>998.9693879477625</v>
      </c>
      <c r="O68" s="161">
        <v>-0.00013075821468493156</v>
      </c>
      <c r="P68" s="161">
        <v>0.12835933694593607</v>
      </c>
      <c r="Q68" s="161">
        <v>0.0037385256328767123</v>
      </c>
      <c r="R68" s="162">
        <v>1.3117967053150685</v>
      </c>
      <c r="S68" s="161">
        <v>135</v>
      </c>
      <c r="T68" s="161">
        <v>270</v>
      </c>
      <c r="U68" s="161"/>
      <c r="V68" s="162"/>
      <c r="W68" s="162"/>
      <c r="X68" s="51"/>
      <c r="Y68" s="51"/>
      <c r="Z68" s="51"/>
      <c r="AA68" s="51"/>
      <c r="AB68" s="51"/>
      <c r="AC68" s="152">
        <v>10</v>
      </c>
      <c r="AD68" s="153">
        <v>37.77777777777778</v>
      </c>
      <c r="AE68" s="153">
        <v>121.11111111111111</v>
      </c>
      <c r="AF68" s="153">
        <v>204.44444444444443</v>
      </c>
      <c r="AG68" s="153">
        <v>260</v>
      </c>
      <c r="AH68" s="153">
        <v>343.3333333333333</v>
      </c>
      <c r="AI68" s="154">
        <v>986.7371360000001</v>
      </c>
      <c r="AJ68" s="154">
        <v>967.514984</v>
      </c>
      <c r="AK68" s="154">
        <v>906.644836</v>
      </c>
      <c r="AL68" s="154">
        <v>840.96915</v>
      </c>
      <c r="AM68" s="154">
        <v>794.515616</v>
      </c>
      <c r="AN68" s="154">
        <v>719.2288540000001</v>
      </c>
      <c r="AO68" s="155">
        <v>1.318842</v>
      </c>
      <c r="AP68" s="155">
        <v>1.4528195999999998</v>
      </c>
      <c r="AQ68" s="155">
        <v>1.7793899999999998</v>
      </c>
      <c r="AR68" s="155">
        <v>2.114334</v>
      </c>
      <c r="AS68" s="155">
        <v>2.30274</v>
      </c>
      <c r="AT68" s="155">
        <v>2.5539479999999997</v>
      </c>
      <c r="AU68" s="156">
        <v>0.1275551695</v>
      </c>
      <c r="AV68" s="156">
        <v>0.123228332</v>
      </c>
      <c r="AW68" s="156">
        <v>0.112497775</v>
      </c>
      <c r="AX68" s="156">
        <v>0.10090185049999999</v>
      </c>
      <c r="AY68" s="156">
        <v>0.09432505749999999</v>
      </c>
      <c r="AZ68" s="156">
        <v>0.08394064749999999</v>
      </c>
      <c r="BA68" s="157">
        <v>4.7363382528</v>
      </c>
      <c r="BB68" s="157">
        <v>2.8057934535999998</v>
      </c>
      <c r="BC68" s="157">
        <v>0.75251521388</v>
      </c>
      <c r="BD68" s="157">
        <v>0.3616167345</v>
      </c>
      <c r="BE68" s="157">
        <v>0.25424499712000004</v>
      </c>
      <c r="BF68" s="157">
        <v>0.17261492496</v>
      </c>
      <c r="BG68" s="158">
        <v>1</v>
      </c>
      <c r="BH68" s="158">
        <v>194</v>
      </c>
      <c r="BI68" s="158">
        <v>3107</v>
      </c>
      <c r="BJ68" s="159" t="s">
        <v>179</v>
      </c>
      <c r="BK68" s="170"/>
      <c r="BW68" s="85"/>
      <c r="BX68" s="77"/>
      <c r="BY68" s="77"/>
      <c r="BZ68" s="77"/>
      <c r="CA68" s="77"/>
      <c r="CB68" s="77"/>
      <c r="CC68" s="86"/>
      <c r="CE68"/>
      <c r="CF68"/>
      <c r="CG68"/>
      <c r="CH68"/>
      <c r="CI68"/>
      <c r="CJ68"/>
      <c r="CK68"/>
      <c r="CL68"/>
      <c r="CM68"/>
      <c r="CN68"/>
      <c r="CO68"/>
      <c r="CP68"/>
      <c r="CQ68"/>
      <c r="CR68"/>
      <c r="CS68"/>
      <c r="CT68"/>
      <c r="CU68"/>
    </row>
    <row r="69" spans="1:99" s="61" customFormat="1" ht="12.75" customHeight="1">
      <c r="A69" s="160" t="s">
        <v>180</v>
      </c>
      <c r="B69" s="161" t="s">
        <v>174</v>
      </c>
      <c r="C69" s="161" t="s">
        <v>181</v>
      </c>
      <c r="D69" s="161">
        <v>37.77777777777778</v>
      </c>
      <c r="E69" s="161">
        <v>351.6666666666667</v>
      </c>
      <c r="F69" s="161"/>
      <c r="G69" s="161">
        <v>28.979784317775387</v>
      </c>
      <c r="H69" s="161">
        <v>69967.71548263016</v>
      </c>
      <c r="I69" s="161">
        <v>2296.2079797481215</v>
      </c>
      <c r="J69" s="161">
        <v>-2.852352433848285</v>
      </c>
      <c r="K69" s="161">
        <v>801.5978566002103</v>
      </c>
      <c r="L69" s="161">
        <v>-167.46698393390832</v>
      </c>
      <c r="M69" s="161">
        <v>-0.6994117306285718</v>
      </c>
      <c r="N69" s="161">
        <v>1043.8232660777144</v>
      </c>
      <c r="O69" s="161">
        <v>-0.00010360674205714278</v>
      </c>
      <c r="P69" s="161">
        <v>0.13287851476342855</v>
      </c>
      <c r="Q69" s="161">
        <v>0.0035334199542857133</v>
      </c>
      <c r="R69" s="162">
        <v>1.482420674742857</v>
      </c>
      <c r="S69" s="161">
        <v>212.77777777777777</v>
      </c>
      <c r="T69" s="161">
        <v>360</v>
      </c>
      <c r="U69" s="161"/>
      <c r="V69" s="162"/>
      <c r="W69" s="162"/>
      <c r="X69" s="51"/>
      <c r="Y69" s="51"/>
      <c r="Z69" s="51"/>
      <c r="AA69" s="51"/>
      <c r="AB69" s="51"/>
      <c r="AC69" s="152">
        <v>37.77777777777778</v>
      </c>
      <c r="AD69" s="153">
        <v>93.33333333333333</v>
      </c>
      <c r="AE69" s="153">
        <v>148.88888888888889</v>
      </c>
      <c r="AF69" s="153">
        <v>204.44444444444443</v>
      </c>
      <c r="AG69" s="153">
        <v>260</v>
      </c>
      <c r="AH69" s="153">
        <v>315.55555555555554</v>
      </c>
      <c r="AI69" s="154">
        <v>1017.1722100000001</v>
      </c>
      <c r="AJ69" s="154">
        <v>978.7279060000001</v>
      </c>
      <c r="AK69" s="154">
        <v>940.2836020000001</v>
      </c>
      <c r="AL69" s="154">
        <v>900.2374520000001</v>
      </c>
      <c r="AM69" s="154">
        <v>861.793148</v>
      </c>
      <c r="AN69" s="154">
        <v>823.348844</v>
      </c>
      <c r="AO69" s="155">
        <v>1.611918</v>
      </c>
      <c r="AP69" s="155">
        <v>1.8212579999999998</v>
      </c>
      <c r="AQ69" s="155">
        <v>2.0054772</v>
      </c>
      <c r="AR69" s="155">
        <v>2.19807</v>
      </c>
      <c r="AS69" s="155">
        <v>2.4074099999999996</v>
      </c>
      <c r="AT69" s="155">
        <v>2.5958159999999997</v>
      </c>
      <c r="AU69" s="156">
        <v>0.12893975749999997</v>
      </c>
      <c r="AV69" s="156">
        <v>0.123228332</v>
      </c>
      <c r="AW69" s="156">
        <v>0.117343833</v>
      </c>
      <c r="AX69" s="156">
        <v>0.1116324075</v>
      </c>
      <c r="AY69" s="156">
        <v>0.1064402025</v>
      </c>
      <c r="AZ69" s="156">
        <v>0.0998634095</v>
      </c>
      <c r="BA69" s="157">
        <v>14.240410940000002</v>
      </c>
      <c r="BB69" s="157">
        <v>3.2395893688600004</v>
      </c>
      <c r="BC69" s="157">
        <v>1.410425403</v>
      </c>
      <c r="BD69" s="157">
        <v>0.7652018342</v>
      </c>
      <c r="BE69" s="157">
        <v>0.5170758887999999</v>
      </c>
      <c r="BF69" s="157">
        <v>0.38697395667999995</v>
      </c>
      <c r="BG69" s="158">
        <v>0.5</v>
      </c>
      <c r="BH69" s="158">
        <v>10</v>
      </c>
      <c r="BI69" s="158">
        <v>155</v>
      </c>
      <c r="BJ69" s="159" t="s">
        <v>182</v>
      </c>
      <c r="BK69" s="170"/>
      <c r="BW69" s="85"/>
      <c r="BX69" s="77"/>
      <c r="BY69" s="77"/>
      <c r="BZ69" s="77"/>
      <c r="CA69" s="77"/>
      <c r="CB69" s="77"/>
      <c r="CC69" s="86"/>
      <c r="CE69"/>
      <c r="CF69"/>
      <c r="CG69"/>
      <c r="CH69"/>
      <c r="CI69"/>
      <c r="CJ69"/>
      <c r="CK69"/>
      <c r="CL69"/>
      <c r="CM69"/>
      <c r="CN69"/>
      <c r="CO69"/>
      <c r="CP69"/>
      <c r="CQ69"/>
      <c r="CR69"/>
      <c r="CS69"/>
      <c r="CT69"/>
      <c r="CU69"/>
    </row>
    <row r="70" spans="1:99" s="61" customFormat="1" ht="12.75" customHeight="1">
      <c r="A70" s="160" t="s">
        <v>183</v>
      </c>
      <c r="B70" s="161" t="s">
        <v>184</v>
      </c>
      <c r="C70" s="161" t="s">
        <v>185</v>
      </c>
      <c r="D70" s="161">
        <v>13</v>
      </c>
      <c r="E70" s="161">
        <v>400</v>
      </c>
      <c r="F70" s="161"/>
      <c r="G70" s="161">
        <v>7.20221146489959</v>
      </c>
      <c r="H70" s="161">
        <v>1946.567861732198</v>
      </c>
      <c r="I70" s="161">
        <v>193.6808400358781</v>
      </c>
      <c r="J70" s="161">
        <v>-2.9562219361492232</v>
      </c>
      <c r="K70" s="161">
        <v>695.5105839641564</v>
      </c>
      <c r="L70" s="161">
        <v>-136.27963248670792</v>
      </c>
      <c r="M70" s="161">
        <v>-1.0246350364963503</v>
      </c>
      <c r="N70" s="161">
        <v>1094.6009732360096</v>
      </c>
      <c r="O70" s="161">
        <v>-0.00016386861313868613</v>
      </c>
      <c r="P70" s="161">
        <v>0.1464963503649635</v>
      </c>
      <c r="Q70" s="161">
        <v>0.0026839416058394164</v>
      </c>
      <c r="R70" s="162">
        <v>1.5037238442822385</v>
      </c>
      <c r="S70" s="161">
        <v>115</v>
      </c>
      <c r="T70" s="161">
        <v>257</v>
      </c>
      <c r="U70" s="161"/>
      <c r="V70" s="162"/>
      <c r="W70" s="162"/>
      <c r="X70" s="51"/>
      <c r="Y70" s="51"/>
      <c r="Z70" s="51"/>
      <c r="AA70" s="51"/>
      <c r="AB70" s="51"/>
      <c r="AC70" s="152">
        <v>20</v>
      </c>
      <c r="AD70" s="153">
        <v>60</v>
      </c>
      <c r="AE70" s="153">
        <v>100</v>
      </c>
      <c r="AF70" s="153">
        <v>200</v>
      </c>
      <c r="AG70" s="153">
        <v>300</v>
      </c>
      <c r="AH70" s="153">
        <v>400</v>
      </c>
      <c r="AI70" s="154">
        <v>1061</v>
      </c>
      <c r="AJ70" s="154">
        <v>1031</v>
      </c>
      <c r="AK70" s="154">
        <v>998</v>
      </c>
      <c r="AL70" s="154">
        <v>905</v>
      </c>
      <c r="AM70" s="154">
        <v>796</v>
      </c>
      <c r="AN70" s="154">
        <v>670</v>
      </c>
      <c r="AO70" s="155">
        <v>1.557</v>
      </c>
      <c r="AP70" s="155">
        <v>1.665</v>
      </c>
      <c r="AQ70" s="155">
        <v>1.772</v>
      </c>
      <c r="AR70" s="155">
        <v>2.041</v>
      </c>
      <c r="AS70" s="155">
        <v>2.309</v>
      </c>
      <c r="AT70" s="155">
        <v>2.577</v>
      </c>
      <c r="AU70" s="156">
        <v>0.144</v>
      </c>
      <c r="AV70" s="156">
        <v>0.137</v>
      </c>
      <c r="AW70" s="156">
        <v>0.13</v>
      </c>
      <c r="AX70" s="156">
        <v>0.112</v>
      </c>
      <c r="AY70" s="156">
        <v>0.097</v>
      </c>
      <c r="AZ70" s="156">
        <v>0.082</v>
      </c>
      <c r="BA70" s="157">
        <v>4.26</v>
      </c>
      <c r="BB70" s="157">
        <v>1.78</v>
      </c>
      <c r="BC70" s="157">
        <v>0.99</v>
      </c>
      <c r="BD70" s="157">
        <v>0.41</v>
      </c>
      <c r="BE70" s="157">
        <v>0.26</v>
      </c>
      <c r="BF70" s="157">
        <v>0.19</v>
      </c>
      <c r="BG70" s="158">
        <v>0.338</v>
      </c>
      <c r="BH70" s="158">
        <v>181</v>
      </c>
      <c r="BI70" s="158">
        <v>8383</v>
      </c>
      <c r="BJ70" s="159" t="s">
        <v>186</v>
      </c>
      <c r="BK70" s="170"/>
      <c r="BW70" s="85"/>
      <c r="BX70" s="77"/>
      <c r="BY70" s="77"/>
      <c r="BZ70" s="77"/>
      <c r="CA70" s="77"/>
      <c r="CB70" s="77"/>
      <c r="CC70" s="86"/>
      <c r="CE70"/>
      <c r="CF70"/>
      <c r="CG70"/>
      <c r="CH70"/>
      <c r="CI70"/>
      <c r="CJ70"/>
      <c r="CK70"/>
      <c r="CL70"/>
      <c r="CM70"/>
      <c r="CN70"/>
      <c r="CO70"/>
      <c r="CP70"/>
      <c r="CQ70"/>
      <c r="CR70"/>
      <c r="CS70"/>
      <c r="CT70"/>
      <c r="CU70"/>
    </row>
    <row r="71" spans="1:99" s="61" customFormat="1" ht="12.75" customHeight="1">
      <c r="A71" s="160" t="s">
        <v>187</v>
      </c>
      <c r="B71" s="161" t="s">
        <v>184</v>
      </c>
      <c r="C71" s="161" t="s">
        <v>188</v>
      </c>
      <c r="D71" s="161">
        <v>-30</v>
      </c>
      <c r="E71" s="161">
        <v>330</v>
      </c>
      <c r="F71" s="161"/>
      <c r="G71" s="161">
        <v>-5.099815351110548</v>
      </c>
      <c r="H71" s="161">
        <v>4803.754005683303</v>
      </c>
      <c r="I71" s="161">
        <v>-906.2417005277697</v>
      </c>
      <c r="J71" s="161">
        <v>-2.634419516289988</v>
      </c>
      <c r="K71" s="161">
        <v>587.9922893267077</v>
      </c>
      <c r="L71" s="161">
        <v>-159.41110137908063</v>
      </c>
      <c r="M71" s="161">
        <v>-0.8711643835616439</v>
      </c>
      <c r="N71" s="161">
        <v>1047.8924657534246</v>
      </c>
      <c r="O71" s="161">
        <v>-0.00014486301369863013</v>
      </c>
      <c r="P71" s="161">
        <v>0.13729794520547944</v>
      </c>
      <c r="Q71" s="161">
        <v>0.0027554794520547946</v>
      </c>
      <c r="R71" s="162">
        <v>1.5304178082191782</v>
      </c>
      <c r="S71" s="161">
        <v>135</v>
      </c>
      <c r="T71" s="161">
        <v>284</v>
      </c>
      <c r="U71" s="161"/>
      <c r="V71" s="162"/>
      <c r="W71" s="162"/>
      <c r="X71" s="51"/>
      <c r="Y71" s="51"/>
      <c r="Z71" s="51"/>
      <c r="AA71" s="51"/>
      <c r="AB71" s="51"/>
      <c r="AC71" s="152">
        <v>-30</v>
      </c>
      <c r="AD71" s="153">
        <v>10</v>
      </c>
      <c r="AE71" s="153">
        <v>90</v>
      </c>
      <c r="AF71" s="153">
        <v>170</v>
      </c>
      <c r="AG71" s="153">
        <v>250</v>
      </c>
      <c r="AH71" s="153">
        <v>330</v>
      </c>
      <c r="AI71" s="154">
        <v>1062</v>
      </c>
      <c r="AJ71" s="154">
        <v>1037</v>
      </c>
      <c r="AK71" s="154">
        <v>980</v>
      </c>
      <c r="AL71" s="154">
        <v>913</v>
      </c>
      <c r="AM71" s="154">
        <v>835</v>
      </c>
      <c r="AN71" s="154">
        <v>746</v>
      </c>
      <c r="AO71" s="155">
        <v>1.448</v>
      </c>
      <c r="AP71" s="155">
        <v>1.558</v>
      </c>
      <c r="AQ71" s="155">
        <v>1.778</v>
      </c>
      <c r="AR71" s="155">
        <v>1.999</v>
      </c>
      <c r="AS71" s="155">
        <v>2.219</v>
      </c>
      <c r="AT71" s="155">
        <v>2.44</v>
      </c>
      <c r="AU71" s="156">
        <v>0.142</v>
      </c>
      <c r="AV71" s="156">
        <v>0.136</v>
      </c>
      <c r="AW71" s="156">
        <v>0.124</v>
      </c>
      <c r="AX71" s="156">
        <v>0.112</v>
      </c>
      <c r="AY71" s="156">
        <v>0.101</v>
      </c>
      <c r="AZ71" s="156">
        <v>0.09</v>
      </c>
      <c r="BA71" s="157">
        <v>71.21</v>
      </c>
      <c r="BB71" s="157">
        <v>8.31</v>
      </c>
      <c r="BC71" s="157">
        <v>1.31</v>
      </c>
      <c r="BD71" s="157">
        <v>0.57</v>
      </c>
      <c r="BE71" s="157">
        <v>0.36</v>
      </c>
      <c r="BF71" s="157">
        <v>0.27</v>
      </c>
      <c r="BG71" s="158">
        <v>1.82</v>
      </c>
      <c r="BH71" s="158">
        <v>26.6</v>
      </c>
      <c r="BI71" s="158">
        <v>1724</v>
      </c>
      <c r="BJ71" s="159" t="s">
        <v>186</v>
      </c>
      <c r="BK71" s="170"/>
      <c r="BW71" s="85"/>
      <c r="BX71" s="77"/>
      <c r="BY71" s="77"/>
      <c r="BZ71" s="77"/>
      <c r="CA71" s="77"/>
      <c r="CB71" s="77"/>
      <c r="CC71" s="86"/>
      <c r="CE71"/>
      <c r="CF71"/>
      <c r="CG71"/>
      <c r="CH71"/>
      <c r="CI71"/>
      <c r="CJ71"/>
      <c r="CK71"/>
      <c r="CL71"/>
      <c r="CM71"/>
      <c r="CN71"/>
      <c r="CO71"/>
      <c r="CP71"/>
      <c r="CQ71"/>
      <c r="CR71"/>
      <c r="CS71"/>
      <c r="CT71"/>
      <c r="CU71"/>
    </row>
    <row r="72" spans="1:99" s="61" customFormat="1" ht="12.75" customHeight="1">
      <c r="A72" s="160" t="s">
        <v>189</v>
      </c>
      <c r="B72" s="161" t="s">
        <v>184</v>
      </c>
      <c r="C72" s="161" t="s">
        <v>190</v>
      </c>
      <c r="D72" s="161">
        <v>-45</v>
      </c>
      <c r="E72" s="161">
        <v>350</v>
      </c>
      <c r="F72" s="161"/>
      <c r="G72" s="161">
        <v>8.824543715921585</v>
      </c>
      <c r="H72" s="161">
        <v>3748.7167333660877</v>
      </c>
      <c r="I72" s="161">
        <v>336.9459257154872</v>
      </c>
      <c r="J72" s="161">
        <v>-3.2904672274493416</v>
      </c>
      <c r="K72" s="161">
        <v>883.4734248085309</v>
      </c>
      <c r="L72" s="161">
        <v>-119.01845656677962</v>
      </c>
      <c r="M72" s="161">
        <v>-0.7878767123287671</v>
      </c>
      <c r="N72" s="161">
        <v>1021.9643835616438</v>
      </c>
      <c r="O72" s="161">
        <v>-0.00013226027397260275</v>
      </c>
      <c r="P72" s="161">
        <v>0.13158630136986302</v>
      </c>
      <c r="Q72" s="161">
        <v>0.0029500000000000004</v>
      </c>
      <c r="R72" s="162">
        <v>1.53</v>
      </c>
      <c r="S72" s="161">
        <v>146</v>
      </c>
      <c r="T72" s="161">
        <v>290</v>
      </c>
      <c r="U72" s="161"/>
      <c r="V72" s="162"/>
      <c r="W72" s="162"/>
      <c r="X72" s="51"/>
      <c r="Y72" s="51"/>
      <c r="Z72" s="51"/>
      <c r="AA72" s="51"/>
      <c r="AB72" s="51"/>
      <c r="AC72" s="152">
        <v>-40</v>
      </c>
      <c r="AD72" s="153">
        <v>0</v>
      </c>
      <c r="AE72" s="153">
        <v>80</v>
      </c>
      <c r="AF72" s="153">
        <v>160</v>
      </c>
      <c r="AG72" s="153">
        <v>240</v>
      </c>
      <c r="AH72" s="153">
        <v>320</v>
      </c>
      <c r="AI72" s="154">
        <v>1046</v>
      </c>
      <c r="AJ72" s="154">
        <v>1021</v>
      </c>
      <c r="AK72" s="154">
        <v>965</v>
      </c>
      <c r="AL72" s="154">
        <v>904</v>
      </c>
      <c r="AM72" s="154">
        <v>836</v>
      </c>
      <c r="AN72" s="154">
        <v>761</v>
      </c>
      <c r="AO72" s="155">
        <v>1.412</v>
      </c>
      <c r="AP72" s="155">
        <v>1.53</v>
      </c>
      <c r="AQ72" s="155">
        <v>1.766</v>
      </c>
      <c r="AR72" s="155">
        <v>2.002</v>
      </c>
      <c r="AS72" s="155">
        <v>2.238</v>
      </c>
      <c r="AT72" s="155">
        <v>2.474</v>
      </c>
      <c r="AU72" s="156">
        <v>0.136</v>
      </c>
      <c r="AV72" s="156">
        <v>0.131</v>
      </c>
      <c r="AW72" s="156">
        <v>0.122</v>
      </c>
      <c r="AX72" s="156">
        <v>0.112</v>
      </c>
      <c r="AY72" s="156">
        <v>0.1</v>
      </c>
      <c r="AZ72" s="156">
        <v>0.088</v>
      </c>
      <c r="BA72" s="157">
        <v>84.76</v>
      </c>
      <c r="BB72" s="157">
        <v>11.49</v>
      </c>
      <c r="BC72" s="157">
        <v>1.63</v>
      </c>
      <c r="BD72" s="157">
        <v>0.62</v>
      </c>
      <c r="BE72" s="157">
        <v>0.35</v>
      </c>
      <c r="BF72" s="157">
        <v>0.24</v>
      </c>
      <c r="BG72" s="158">
        <v>0.005</v>
      </c>
      <c r="BH72" s="158">
        <v>19.1</v>
      </c>
      <c r="BI72" s="158">
        <v>1313</v>
      </c>
      <c r="BJ72" s="159" t="s">
        <v>186</v>
      </c>
      <c r="BK72" s="170"/>
      <c r="BW72" s="85"/>
      <c r="BX72" s="77"/>
      <c r="BY72" s="77"/>
      <c r="BZ72" s="77"/>
      <c r="CA72" s="77"/>
      <c r="CB72" s="77"/>
      <c r="CC72" s="86"/>
      <c r="CE72"/>
      <c r="CF72"/>
      <c r="CG72"/>
      <c r="CH72"/>
      <c r="CI72"/>
      <c r="CJ72"/>
      <c r="CK72"/>
      <c r="CL72"/>
      <c r="CM72"/>
      <c r="CN72"/>
      <c r="CO72"/>
      <c r="CP72"/>
      <c r="CQ72"/>
      <c r="CR72"/>
      <c r="CS72"/>
      <c r="CT72"/>
      <c r="CU72"/>
    </row>
    <row r="73" spans="1:99" s="61" customFormat="1" ht="12.75" customHeight="1">
      <c r="A73" s="160" t="s">
        <v>191</v>
      </c>
      <c r="B73" s="161" t="s">
        <v>184</v>
      </c>
      <c r="C73" s="161" t="s">
        <v>192</v>
      </c>
      <c r="D73" s="161">
        <v>0</v>
      </c>
      <c r="E73" s="161">
        <v>345</v>
      </c>
      <c r="F73" s="161"/>
      <c r="G73" s="161">
        <v>35.76431540010838</v>
      </c>
      <c r="H73" s="161">
        <v>93078.03162883547</v>
      </c>
      <c r="I73" s="161">
        <v>2471.749350310521</v>
      </c>
      <c r="J73" s="161">
        <v>-2.5680562083378127</v>
      </c>
      <c r="K73" s="161">
        <v>631.4445755395366</v>
      </c>
      <c r="L73" s="161">
        <v>-209.14728746995556</v>
      </c>
      <c r="M73" s="161">
        <v>-0.7632881085395051</v>
      </c>
      <c r="N73" s="161">
        <v>1038.6703910614524</v>
      </c>
      <c r="O73" s="161">
        <v>-9.93216280925778E-05</v>
      </c>
      <c r="P73" s="161">
        <v>0.1240558659217877</v>
      </c>
      <c r="Q73" s="161">
        <v>0.003379688747007182</v>
      </c>
      <c r="R73" s="162">
        <v>1.535150837988827</v>
      </c>
      <c r="S73" s="161">
        <v>190</v>
      </c>
      <c r="T73" s="161">
        <v>352</v>
      </c>
      <c r="U73" s="161"/>
      <c r="V73" s="162"/>
      <c r="W73" s="162"/>
      <c r="X73" s="51"/>
      <c r="Y73" s="51"/>
      <c r="Z73" s="51"/>
      <c r="AA73" s="51"/>
      <c r="AB73" s="51"/>
      <c r="AC73" s="152">
        <v>20</v>
      </c>
      <c r="AD73" s="153">
        <v>60</v>
      </c>
      <c r="AE73" s="153">
        <v>100</v>
      </c>
      <c r="AF73" s="153">
        <v>180</v>
      </c>
      <c r="AG73" s="153">
        <v>260</v>
      </c>
      <c r="AH73" s="153">
        <v>360</v>
      </c>
      <c r="AI73" s="154">
        <v>1018</v>
      </c>
      <c r="AJ73" s="154">
        <v>992</v>
      </c>
      <c r="AK73" s="154">
        <v>965</v>
      </c>
      <c r="AL73" s="154">
        <v>907</v>
      </c>
      <c r="AM73" s="154">
        <v>844</v>
      </c>
      <c r="AN73" s="154">
        <v>758</v>
      </c>
      <c r="AO73" s="155">
        <v>1.603</v>
      </c>
      <c r="AP73" s="155">
        <v>1.738</v>
      </c>
      <c r="AQ73" s="155">
        <v>1.873</v>
      </c>
      <c r="AR73" s="155">
        <v>2.143</v>
      </c>
      <c r="AS73" s="155">
        <v>2.414</v>
      </c>
      <c r="AT73" s="155">
        <v>2.752</v>
      </c>
      <c r="AU73" s="156">
        <v>0.12</v>
      </c>
      <c r="AV73" s="156">
        <v>0.118</v>
      </c>
      <c r="AW73" s="156">
        <v>0.115</v>
      </c>
      <c r="AX73" s="156">
        <v>0.108</v>
      </c>
      <c r="AY73" s="156">
        <v>0.1</v>
      </c>
      <c r="AZ73" s="156">
        <v>0.086</v>
      </c>
      <c r="BA73" s="157">
        <v>135.78</v>
      </c>
      <c r="BB73" s="157">
        <v>12.48</v>
      </c>
      <c r="BC73" s="157">
        <v>3.62</v>
      </c>
      <c r="BD73" s="157">
        <v>1.02</v>
      </c>
      <c r="BE73" s="157">
        <v>0.53</v>
      </c>
      <c r="BF73" s="157">
        <v>0.34</v>
      </c>
      <c r="BG73" s="158">
        <v>0.1</v>
      </c>
      <c r="BH73" s="158">
        <v>4.61</v>
      </c>
      <c r="BI73" s="158">
        <v>785</v>
      </c>
      <c r="BJ73" s="159" t="s">
        <v>186</v>
      </c>
      <c r="BK73" s="170"/>
      <c r="BW73" s="85"/>
      <c r="BX73" s="77"/>
      <c r="BY73" s="77"/>
      <c r="BZ73" s="77"/>
      <c r="CA73" s="77"/>
      <c r="CB73" s="77"/>
      <c r="CC73" s="86"/>
      <c r="CE73"/>
      <c r="CF73"/>
      <c r="CG73"/>
      <c r="CH73"/>
      <c r="CI73"/>
      <c r="CJ73"/>
      <c r="CK73"/>
      <c r="CL73"/>
      <c r="CM73"/>
      <c r="CN73"/>
      <c r="CO73"/>
      <c r="CP73"/>
      <c r="CQ73"/>
      <c r="CR73"/>
      <c r="CS73"/>
      <c r="CT73"/>
      <c r="CU73"/>
    </row>
    <row r="74" spans="1:99" s="61" customFormat="1" ht="12.75" customHeight="1">
      <c r="A74" s="160" t="s">
        <v>193</v>
      </c>
      <c r="B74" s="161" t="s">
        <v>194</v>
      </c>
      <c r="C74" s="161" t="s">
        <v>195</v>
      </c>
      <c r="D74" s="161">
        <v>-10</v>
      </c>
      <c r="E74" s="161">
        <v>170</v>
      </c>
      <c r="F74" s="161"/>
      <c r="G74" s="161" t="s">
        <v>196</v>
      </c>
      <c r="H74" s="161" t="s">
        <v>196</v>
      </c>
      <c r="I74" s="161" t="s">
        <v>196</v>
      </c>
      <c r="J74" s="161">
        <v>-4.180811421070687</v>
      </c>
      <c r="K74" s="161">
        <v>909.7339246594355</v>
      </c>
      <c r="L74" s="161">
        <v>-107.59541739146975</v>
      </c>
      <c r="M74" s="161">
        <v>-0.6948812664907652</v>
      </c>
      <c r="N74" s="161">
        <v>1059.327704485488</v>
      </c>
      <c r="O74" s="161">
        <v>0.00032369393139841684</v>
      </c>
      <c r="P74" s="161">
        <v>0.4584619173262973</v>
      </c>
      <c r="Q74" s="161">
        <v>0.0027556728232189976</v>
      </c>
      <c r="R74" s="162">
        <v>3.617656992084433</v>
      </c>
      <c r="S74" s="161"/>
      <c r="T74" s="161"/>
      <c r="U74" s="161"/>
      <c r="V74" s="162"/>
      <c r="W74" s="162"/>
      <c r="X74" s="51"/>
      <c r="Y74" s="51"/>
      <c r="Z74" s="51"/>
      <c r="AA74" s="51"/>
      <c r="AB74" s="51"/>
      <c r="AC74" s="152">
        <v>0</v>
      </c>
      <c r="AD74" s="153">
        <v>25</v>
      </c>
      <c r="AE74" s="153">
        <v>50</v>
      </c>
      <c r="AF74" s="153">
        <v>100</v>
      </c>
      <c r="AG74" s="153">
        <v>150</v>
      </c>
      <c r="AH74" s="153">
        <v>170</v>
      </c>
      <c r="AI74" s="154">
        <v>1051</v>
      </c>
      <c r="AJ74" s="154">
        <v>1042</v>
      </c>
      <c r="AK74" s="154">
        <v>1031</v>
      </c>
      <c r="AL74" s="154">
        <v>999</v>
      </c>
      <c r="AM74" s="154">
        <v>955</v>
      </c>
      <c r="AN74" s="154">
        <v>934</v>
      </c>
      <c r="AO74" s="155">
        <v>3.62</v>
      </c>
      <c r="AP74" s="155">
        <v>3.69</v>
      </c>
      <c r="AQ74" s="155">
        <v>3.75</v>
      </c>
      <c r="AR74" s="155">
        <v>3.89</v>
      </c>
      <c r="AS74" s="155">
        <v>4.03</v>
      </c>
      <c r="AT74" s="155">
        <v>4.09</v>
      </c>
      <c r="AU74" s="156">
        <v>0.437</v>
      </c>
      <c r="AV74" s="156">
        <v>0.467</v>
      </c>
      <c r="AW74" s="156">
        <v>0.491</v>
      </c>
      <c r="AX74" s="156">
        <v>0.514</v>
      </c>
      <c r="AY74" s="156">
        <v>0.507</v>
      </c>
      <c r="AZ74" s="156">
        <v>0.495</v>
      </c>
      <c r="BA74" s="157">
        <v>3.82</v>
      </c>
      <c r="BB74" s="157">
        <v>1.81</v>
      </c>
      <c r="BC74" s="157">
        <v>1.03</v>
      </c>
      <c r="BD74" s="157">
        <v>0.47</v>
      </c>
      <c r="BE74" s="157">
        <v>0.28</v>
      </c>
      <c r="BF74" s="157">
        <v>0.23</v>
      </c>
      <c r="BG74" s="158">
        <v>0</v>
      </c>
      <c r="BH74" s="158">
        <v>0</v>
      </c>
      <c r="BI74" s="158">
        <v>0</v>
      </c>
      <c r="BJ74" s="159" t="s">
        <v>197</v>
      </c>
      <c r="BK74" s="170"/>
      <c r="BW74" s="85"/>
      <c r="BX74" s="77"/>
      <c r="BY74" s="77"/>
      <c r="BZ74" s="77"/>
      <c r="CA74" s="77"/>
      <c r="CB74" s="77"/>
      <c r="CC74" s="86"/>
      <c r="CE74"/>
      <c r="CF74"/>
      <c r="CG74"/>
      <c r="CH74"/>
      <c r="CI74"/>
      <c r="CJ74"/>
      <c r="CK74"/>
      <c r="CL74"/>
      <c r="CM74"/>
      <c r="CN74"/>
      <c r="CO74"/>
      <c r="CP74"/>
      <c r="CQ74"/>
      <c r="CR74"/>
      <c r="CS74"/>
      <c r="CT74"/>
      <c r="CU74"/>
    </row>
    <row r="75" spans="1:99" s="61" customFormat="1" ht="12.75" customHeight="1">
      <c r="A75" s="160" t="s">
        <v>198</v>
      </c>
      <c r="B75" s="161" t="s">
        <v>194</v>
      </c>
      <c r="C75" s="161" t="s">
        <v>195</v>
      </c>
      <c r="D75" s="161">
        <v>-20</v>
      </c>
      <c r="E75" s="161">
        <v>170</v>
      </c>
      <c r="F75" s="161"/>
      <c r="G75" s="161" t="s">
        <v>196</v>
      </c>
      <c r="H75" s="161" t="s">
        <v>196</v>
      </c>
      <c r="I75" s="161" t="s">
        <v>196</v>
      </c>
      <c r="J75" s="161">
        <v>-4.727046551074429</v>
      </c>
      <c r="K75" s="161">
        <v>1202.565787431586</v>
      </c>
      <c r="L75" s="161">
        <v>-83.18143033247526</v>
      </c>
      <c r="M75" s="161">
        <v>-0.7211609498680739</v>
      </c>
      <c r="N75" s="161">
        <v>1073.6624450307827</v>
      </c>
      <c r="O75" s="161">
        <v>0.00028253298153034306</v>
      </c>
      <c r="P75" s="161">
        <v>0.4218576956904134</v>
      </c>
      <c r="Q75" s="161">
        <v>0.003258047493403695</v>
      </c>
      <c r="R75" s="162">
        <v>3.4395444151275285</v>
      </c>
      <c r="S75" s="161"/>
      <c r="T75" s="161"/>
      <c r="U75" s="161"/>
      <c r="V75" s="162"/>
      <c r="W75" s="162"/>
      <c r="X75" s="51"/>
      <c r="Y75" s="51"/>
      <c r="Z75" s="51"/>
      <c r="AA75" s="51"/>
      <c r="AB75" s="51"/>
      <c r="AC75" s="152">
        <v>0</v>
      </c>
      <c r="AD75" s="153">
        <v>25</v>
      </c>
      <c r="AE75" s="153">
        <v>50</v>
      </c>
      <c r="AF75" s="153">
        <v>100</v>
      </c>
      <c r="AG75" s="153">
        <v>150</v>
      </c>
      <c r="AH75" s="153">
        <v>170</v>
      </c>
      <c r="AI75" s="154">
        <v>1065</v>
      </c>
      <c r="AJ75" s="154">
        <v>1056</v>
      </c>
      <c r="AK75" s="154">
        <v>1044</v>
      </c>
      <c r="AL75" s="154">
        <v>1011</v>
      </c>
      <c r="AM75" s="154">
        <v>965</v>
      </c>
      <c r="AN75" s="154">
        <v>944</v>
      </c>
      <c r="AO75" s="155">
        <v>3.44</v>
      </c>
      <c r="AP75" s="155">
        <v>3.52</v>
      </c>
      <c r="AQ75" s="155">
        <v>3.6</v>
      </c>
      <c r="AR75" s="155">
        <v>3.77</v>
      </c>
      <c r="AS75" s="155">
        <v>3.93</v>
      </c>
      <c r="AT75" s="155">
        <v>3.99</v>
      </c>
      <c r="AU75" s="156">
        <v>0.404</v>
      </c>
      <c r="AV75" s="156">
        <v>0.43</v>
      </c>
      <c r="AW75" s="156">
        <v>0.449</v>
      </c>
      <c r="AX75" s="156">
        <v>0.469</v>
      </c>
      <c r="AY75" s="156">
        <v>0.464</v>
      </c>
      <c r="AZ75" s="156">
        <v>0.455</v>
      </c>
      <c r="BA75" s="157">
        <v>5.41</v>
      </c>
      <c r="BB75" s="157">
        <v>2.38</v>
      </c>
      <c r="BC75" s="157">
        <v>1.31</v>
      </c>
      <c r="BD75" s="157">
        <v>0.56</v>
      </c>
      <c r="BE75" s="157">
        <v>0.31</v>
      </c>
      <c r="BF75" s="157">
        <v>0.25</v>
      </c>
      <c r="BG75" s="158">
        <v>0</v>
      </c>
      <c r="BH75" s="158">
        <v>0</v>
      </c>
      <c r="BI75" s="158">
        <v>0</v>
      </c>
      <c r="BJ75" s="159" t="s">
        <v>197</v>
      </c>
      <c r="BK75" s="171"/>
      <c r="BW75" s="82"/>
      <c r="BX75" s="89" t="s">
        <v>16</v>
      </c>
      <c r="BZ75" s="89" t="s">
        <v>130</v>
      </c>
      <c r="CB75" s="89" t="s">
        <v>22</v>
      </c>
      <c r="CC75" s="79"/>
      <c r="CE75"/>
      <c r="CF75"/>
      <c r="CG75"/>
      <c r="CH75"/>
      <c r="CI75"/>
      <c r="CJ75"/>
      <c r="CK75"/>
      <c r="CL75"/>
      <c r="CM75"/>
      <c r="CN75"/>
      <c r="CO75"/>
      <c r="CP75"/>
      <c r="CQ75"/>
      <c r="CR75"/>
      <c r="CS75"/>
      <c r="CT75"/>
      <c r="CU75"/>
    </row>
    <row r="76" spans="1:99" s="61" customFormat="1" ht="12.75" customHeight="1">
      <c r="A76" s="160" t="s">
        <v>199</v>
      </c>
      <c r="B76" s="161" t="s">
        <v>194</v>
      </c>
      <c r="C76" s="161" t="s">
        <v>195</v>
      </c>
      <c r="D76" s="161">
        <v>-35</v>
      </c>
      <c r="E76" s="161">
        <v>170</v>
      </c>
      <c r="F76" s="161"/>
      <c r="G76" s="161" t="s">
        <v>196</v>
      </c>
      <c r="H76" s="161" t="s">
        <v>196</v>
      </c>
      <c r="I76" s="161" t="s">
        <v>196</v>
      </c>
      <c r="J76" s="161">
        <v>-5.291290879454355</v>
      </c>
      <c r="K76" s="161">
        <v>1555.1265048426578</v>
      </c>
      <c r="L76" s="161">
        <v>-56.14137674736259</v>
      </c>
      <c r="M76" s="161">
        <v>-0.7482849604221636</v>
      </c>
      <c r="N76" s="161">
        <v>1087.0668425681617</v>
      </c>
      <c r="O76" s="161">
        <v>0.0002502374670184695</v>
      </c>
      <c r="P76" s="161">
        <v>0.38885540897097626</v>
      </c>
      <c r="Q76" s="161">
        <v>0.0037656992084432713</v>
      </c>
      <c r="R76" s="162">
        <v>3.252663148636763</v>
      </c>
      <c r="S76" s="161"/>
      <c r="T76" s="161"/>
      <c r="U76" s="161"/>
      <c r="V76" s="162"/>
      <c r="W76" s="162"/>
      <c r="X76" s="51"/>
      <c r="Y76" s="51"/>
      <c r="Z76" s="51"/>
      <c r="AA76" s="51"/>
      <c r="AB76" s="51"/>
      <c r="AC76" s="152">
        <v>0</v>
      </c>
      <c r="AD76" s="153">
        <v>25</v>
      </c>
      <c r="AE76" s="153">
        <v>50</v>
      </c>
      <c r="AF76" s="153">
        <v>100</v>
      </c>
      <c r="AG76" s="153">
        <v>150</v>
      </c>
      <c r="AH76" s="153">
        <v>170</v>
      </c>
      <c r="AI76" s="154">
        <v>1078</v>
      </c>
      <c r="AJ76" s="154">
        <v>1069</v>
      </c>
      <c r="AK76" s="154">
        <v>1056</v>
      </c>
      <c r="AL76" s="154">
        <v>1022</v>
      </c>
      <c r="AM76" s="154">
        <v>975</v>
      </c>
      <c r="AN76" s="154">
        <v>952</v>
      </c>
      <c r="AO76" s="155">
        <v>3.25</v>
      </c>
      <c r="AP76" s="155">
        <v>3.35</v>
      </c>
      <c r="AQ76" s="155">
        <v>3.44</v>
      </c>
      <c r="AR76" s="155">
        <v>3.63</v>
      </c>
      <c r="AS76" s="155">
        <v>3.82</v>
      </c>
      <c r="AT76" s="155">
        <v>3.89</v>
      </c>
      <c r="AU76" s="156">
        <v>0.374</v>
      </c>
      <c r="AV76" s="156">
        <v>0.396</v>
      </c>
      <c r="AW76" s="156">
        <v>0.412</v>
      </c>
      <c r="AX76" s="156">
        <v>0.43</v>
      </c>
      <c r="AY76" s="156">
        <v>0.426</v>
      </c>
      <c r="AZ76" s="156">
        <v>0.419</v>
      </c>
      <c r="BA76" s="157">
        <v>7.21</v>
      </c>
      <c r="BB76" s="157">
        <v>3.11</v>
      </c>
      <c r="BC76" s="157">
        <v>1.68</v>
      </c>
      <c r="BD76" s="157">
        <v>0.68</v>
      </c>
      <c r="BE76" s="157">
        <v>0.35</v>
      </c>
      <c r="BF76" s="157">
        <v>0.28</v>
      </c>
      <c r="BG76" s="158">
        <v>0</v>
      </c>
      <c r="BH76" s="158">
        <v>0</v>
      </c>
      <c r="BI76" s="158">
        <v>0</v>
      </c>
      <c r="BJ76" s="159" t="s">
        <v>197</v>
      </c>
      <c r="BK76" s="171"/>
      <c r="BW76" s="93" t="s">
        <v>132</v>
      </c>
      <c r="BX76" s="89" t="s">
        <v>0</v>
      </c>
      <c r="BY76" s="89" t="s">
        <v>133</v>
      </c>
      <c r="BZ76" s="89" t="s">
        <v>134</v>
      </c>
      <c r="CA76" s="89" t="s">
        <v>135</v>
      </c>
      <c r="CB76" s="89" t="s">
        <v>136</v>
      </c>
      <c r="CC76" s="79"/>
      <c r="CE76"/>
      <c r="CF76"/>
      <c r="CG76"/>
      <c r="CH76"/>
      <c r="CI76"/>
      <c r="CJ76"/>
      <c r="CK76"/>
      <c r="CL76"/>
      <c r="CM76"/>
      <c r="CN76"/>
      <c r="CO76"/>
      <c r="CP76"/>
      <c r="CQ76"/>
      <c r="CR76"/>
      <c r="CS76"/>
      <c r="CT76"/>
      <c r="CU76"/>
    </row>
    <row r="77" spans="1:99" s="61" customFormat="1" ht="12.75" customHeight="1">
      <c r="A77" s="160" t="s">
        <v>200</v>
      </c>
      <c r="B77" s="161" t="s">
        <v>194</v>
      </c>
      <c r="C77" s="161" t="s">
        <v>201</v>
      </c>
      <c r="D77" s="161">
        <v>0</v>
      </c>
      <c r="E77" s="161">
        <v>170</v>
      </c>
      <c r="F77" s="161"/>
      <c r="G77" s="161" t="s">
        <v>196</v>
      </c>
      <c r="H77" s="161" t="s">
        <v>196</v>
      </c>
      <c r="I77" s="161" t="s">
        <v>196</v>
      </c>
      <c r="J77" s="161">
        <v>-2.8678449838679145</v>
      </c>
      <c r="K77" s="161">
        <v>390.43694205304814</v>
      </c>
      <c r="L77" s="161">
        <v>-193.6138173362993</v>
      </c>
      <c r="M77" s="161">
        <v>-0.7430759412890874</v>
      </c>
      <c r="N77" s="161">
        <v>1043.9217187832376</v>
      </c>
      <c r="O77" s="161">
        <v>0.0003067007019783024</v>
      </c>
      <c r="P77" s="161">
        <v>0.4497306955966816</v>
      </c>
      <c r="Q77" s="161">
        <v>0.0026892150606254005</v>
      </c>
      <c r="R77" s="162">
        <v>3.809919166134865</v>
      </c>
      <c r="S77" s="161"/>
      <c r="T77" s="161"/>
      <c r="U77" s="161"/>
      <c r="V77" s="162"/>
      <c r="W77" s="162"/>
      <c r="X77" s="51"/>
      <c r="Y77" s="51"/>
      <c r="Z77" s="51"/>
      <c r="AA77" s="51"/>
      <c r="AB77" s="51"/>
      <c r="AC77" s="152">
        <v>0</v>
      </c>
      <c r="AD77" s="153">
        <v>25</v>
      </c>
      <c r="AE77" s="153">
        <v>50</v>
      </c>
      <c r="AF77" s="153">
        <v>100</v>
      </c>
      <c r="AG77" s="153">
        <v>130</v>
      </c>
      <c r="AH77" s="153">
        <v>160</v>
      </c>
      <c r="AI77" s="154">
        <v>1036</v>
      </c>
      <c r="AJ77" s="154">
        <v>1026</v>
      </c>
      <c r="AK77" s="154">
        <v>1013</v>
      </c>
      <c r="AL77" s="154">
        <v>977</v>
      </c>
      <c r="AM77" s="154">
        <v>949</v>
      </c>
      <c r="AN77" s="154">
        <v>917</v>
      </c>
      <c r="AO77" s="155">
        <v>3.81</v>
      </c>
      <c r="AP77" s="155">
        <v>3.88</v>
      </c>
      <c r="AQ77" s="155">
        <v>3.94</v>
      </c>
      <c r="AR77" s="155">
        <v>4.08</v>
      </c>
      <c r="AS77" s="155">
        <v>4.16</v>
      </c>
      <c r="AT77" s="155">
        <v>4.24</v>
      </c>
      <c r="AU77" s="156">
        <v>0.431</v>
      </c>
      <c r="AV77" s="156">
        <v>0.459</v>
      </c>
      <c r="AW77" s="156">
        <v>0.479</v>
      </c>
      <c r="AX77" s="156">
        <v>0.499</v>
      </c>
      <c r="AY77" s="156">
        <v>0.494</v>
      </c>
      <c r="AZ77" s="156">
        <v>0.479</v>
      </c>
      <c r="BA77" s="157">
        <v>6.19</v>
      </c>
      <c r="BB77" s="157">
        <v>2.38</v>
      </c>
      <c r="BC77" s="157">
        <v>1.2</v>
      </c>
      <c r="BD77" s="157">
        <v>0.5</v>
      </c>
      <c r="BE77" s="157">
        <v>0.37</v>
      </c>
      <c r="BF77" s="157">
        <v>0.29</v>
      </c>
      <c r="BG77" s="158">
        <v>0</v>
      </c>
      <c r="BH77" s="158">
        <v>0</v>
      </c>
      <c r="BI77" s="158">
        <v>0</v>
      </c>
      <c r="BJ77" s="159" t="s">
        <v>202</v>
      </c>
      <c r="BK77" s="171"/>
      <c r="BW77" s="97" t="str">
        <f>CHOOSE(htfunits_temp,"°F","°C")</f>
        <v>°C</v>
      </c>
      <c r="BX77" s="98" t="str">
        <f>CHOOSE(htfunits_sg,"lb/cu.ft.","kg/cu.m.")</f>
        <v>kg/cu.m.</v>
      </c>
      <c r="BY77" s="98" t="str">
        <f>CHOOSE(htfunits_heat,"Btu/lb-°F","KJ/kg-°K")</f>
        <v>KJ/kg-°K</v>
      </c>
      <c r="BZ77" s="98" t="str">
        <f>CHOOSE(htfunits_tc,"Btu/ft-hr-°F","W/m-°K")</f>
        <v>W/m-°K</v>
      </c>
      <c r="CA77" s="98" t="str">
        <f>CHOOSE(htfunits_viscosity,"cP","cSt")</f>
        <v>cP</v>
      </c>
      <c r="CB77" s="99" t="s">
        <v>103</v>
      </c>
      <c r="CC77" s="79"/>
      <c r="CE77"/>
      <c r="CF77"/>
      <c r="CG77"/>
      <c r="CH77"/>
      <c r="CI77"/>
      <c r="CJ77"/>
      <c r="CK77"/>
      <c r="CL77"/>
      <c r="CM77"/>
      <c r="CN77"/>
      <c r="CO77"/>
      <c r="CP77"/>
      <c r="CQ77"/>
      <c r="CR77"/>
      <c r="CS77"/>
      <c r="CT77"/>
      <c r="CU77"/>
    </row>
    <row r="78" spans="1:99" s="61" customFormat="1" ht="12.75" customHeight="1">
      <c r="A78" s="160" t="s">
        <v>203</v>
      </c>
      <c r="B78" s="161" t="s">
        <v>194</v>
      </c>
      <c r="C78" s="161" t="s">
        <v>201</v>
      </c>
      <c r="D78" s="161">
        <v>-15</v>
      </c>
      <c r="E78" s="161">
        <v>170</v>
      </c>
      <c r="F78" s="161"/>
      <c r="G78" s="161" t="s">
        <v>196</v>
      </c>
      <c r="H78" s="161" t="s">
        <v>196</v>
      </c>
      <c r="I78" s="161" t="s">
        <v>196</v>
      </c>
      <c r="J78" s="161">
        <v>-2.2013379439327956</v>
      </c>
      <c r="K78" s="161">
        <v>260.58279780634365</v>
      </c>
      <c r="L78" s="161">
        <v>-221.93867651481435</v>
      </c>
      <c r="M78" s="161">
        <v>-0.7985960433950223</v>
      </c>
      <c r="N78" s="161">
        <v>1053.0578600297808</v>
      </c>
      <c r="O78" s="161">
        <v>0.0002204211869814933</v>
      </c>
      <c r="P78" s="161">
        <v>0.41041735800893425</v>
      </c>
      <c r="Q78" s="161">
        <v>0.003255902999361836</v>
      </c>
      <c r="R78" s="162">
        <v>3.6593341842161244</v>
      </c>
      <c r="S78" s="161"/>
      <c r="T78" s="161"/>
      <c r="U78" s="161"/>
      <c r="V78" s="162"/>
      <c r="W78" s="162"/>
      <c r="X78" s="51"/>
      <c r="Y78" s="51"/>
      <c r="Z78" s="51"/>
      <c r="AA78" s="51"/>
      <c r="AB78" s="51"/>
      <c r="AC78" s="152">
        <v>0</v>
      </c>
      <c r="AD78" s="153">
        <v>25</v>
      </c>
      <c r="AE78" s="153">
        <v>50</v>
      </c>
      <c r="AF78" s="153">
        <v>100</v>
      </c>
      <c r="AG78" s="153">
        <v>130</v>
      </c>
      <c r="AH78" s="153">
        <v>160</v>
      </c>
      <c r="AI78" s="154">
        <v>1045</v>
      </c>
      <c r="AJ78" s="154">
        <v>1034</v>
      </c>
      <c r="AK78" s="154">
        <v>1019</v>
      </c>
      <c r="AL78" s="154">
        <v>981</v>
      </c>
      <c r="AM78" s="154">
        <v>951</v>
      </c>
      <c r="AN78" s="154">
        <v>917</v>
      </c>
      <c r="AO78" s="155">
        <v>3.66</v>
      </c>
      <c r="AP78" s="155">
        <v>3.74</v>
      </c>
      <c r="AQ78" s="155">
        <v>3.82</v>
      </c>
      <c r="AR78" s="155">
        <v>3.99</v>
      </c>
      <c r="AS78" s="155">
        <v>4.08</v>
      </c>
      <c r="AT78" s="155">
        <v>4.18</v>
      </c>
      <c r="AU78" s="156">
        <v>0.395</v>
      </c>
      <c r="AV78" s="156">
        <v>0.417</v>
      </c>
      <c r="AW78" s="156">
        <v>0.433</v>
      </c>
      <c r="AX78" s="156">
        <v>0.448</v>
      </c>
      <c r="AY78" s="156">
        <v>0.443</v>
      </c>
      <c r="AZ78" s="156">
        <v>0.429</v>
      </c>
      <c r="BA78" s="157">
        <v>11</v>
      </c>
      <c r="BB78" s="157">
        <v>3.38</v>
      </c>
      <c r="BC78" s="157">
        <v>1.53</v>
      </c>
      <c r="BD78" s="157">
        <v>0.62</v>
      </c>
      <c r="BE78" s="157">
        <v>0.46</v>
      </c>
      <c r="BF78" s="157">
        <v>0.38</v>
      </c>
      <c r="BG78" s="158">
        <v>0</v>
      </c>
      <c r="BH78" s="158">
        <v>0</v>
      </c>
      <c r="BI78" s="158">
        <v>0</v>
      </c>
      <c r="BJ78" s="159" t="s">
        <v>202</v>
      </c>
      <c r="BK78" s="171"/>
      <c r="BW78" s="106">
        <v>-10</v>
      </c>
      <c r="BX78" s="78">
        <v>827.3</v>
      </c>
      <c r="BY78" s="78">
        <v>0.51</v>
      </c>
      <c r="BZ78" s="78">
        <v>0.089</v>
      </c>
      <c r="CA78" s="78">
        <v>4.7</v>
      </c>
      <c r="CB78" s="107"/>
      <c r="CC78" s="79"/>
      <c r="CE78"/>
      <c r="CF78"/>
      <c r="CG78"/>
      <c r="CH78"/>
      <c r="CI78"/>
      <c r="CJ78"/>
      <c r="CK78"/>
      <c r="CL78"/>
      <c r="CM78"/>
      <c r="CN78"/>
      <c r="CO78"/>
      <c r="CP78"/>
      <c r="CQ78"/>
      <c r="CR78"/>
      <c r="CS78"/>
      <c r="CT78"/>
      <c r="CU78"/>
    </row>
    <row r="79" spans="1:81" s="61" customFormat="1" ht="12.75" customHeight="1">
      <c r="A79" s="160" t="s">
        <v>204</v>
      </c>
      <c r="B79" s="161" t="s">
        <v>194</v>
      </c>
      <c r="C79" s="161" t="s">
        <v>201</v>
      </c>
      <c r="D79" s="161">
        <v>-30</v>
      </c>
      <c r="E79" s="161">
        <v>170</v>
      </c>
      <c r="F79" s="161"/>
      <c r="G79" s="161" t="s">
        <v>196</v>
      </c>
      <c r="H79" s="161" t="s">
        <v>196</v>
      </c>
      <c r="I79" s="161" t="s">
        <v>196</v>
      </c>
      <c r="J79" s="161">
        <v>-2.6653398340704957</v>
      </c>
      <c r="K79" s="161">
        <v>403.30876296891086</v>
      </c>
      <c r="L79" s="161">
        <v>-202.562555392263</v>
      </c>
      <c r="M79" s="161">
        <v>-0.8417358008934269</v>
      </c>
      <c r="N79" s="161">
        <v>1060.7345245692406</v>
      </c>
      <c r="O79" s="161">
        <v>0.00014613911933631155</v>
      </c>
      <c r="P79" s="161">
        <v>0.3735075515847692</v>
      </c>
      <c r="Q79" s="161">
        <v>0.0038111040204211843</v>
      </c>
      <c r="R79" s="162">
        <v>3.487972771750692</v>
      </c>
      <c r="S79" s="161"/>
      <c r="T79" s="161"/>
      <c r="U79" s="161"/>
      <c r="V79" s="162"/>
      <c r="W79" s="162"/>
      <c r="X79" s="51"/>
      <c r="Y79" s="51"/>
      <c r="Z79" s="51"/>
      <c r="AA79" s="51"/>
      <c r="AB79" s="51"/>
      <c r="AC79" s="152">
        <v>0</v>
      </c>
      <c r="AD79" s="153">
        <v>25</v>
      </c>
      <c r="AE79" s="153">
        <v>50</v>
      </c>
      <c r="AF79" s="153">
        <v>100</v>
      </c>
      <c r="AG79" s="153">
        <v>130</v>
      </c>
      <c r="AH79" s="153">
        <v>160</v>
      </c>
      <c r="AI79" s="154">
        <v>1053</v>
      </c>
      <c r="AJ79" s="154">
        <v>1040</v>
      </c>
      <c r="AK79" s="154">
        <v>1025</v>
      </c>
      <c r="AL79" s="154">
        <v>984</v>
      </c>
      <c r="AM79" s="154">
        <v>953</v>
      </c>
      <c r="AN79" s="154">
        <v>918</v>
      </c>
      <c r="AO79" s="155">
        <v>3.49</v>
      </c>
      <c r="AP79" s="155">
        <v>3.58</v>
      </c>
      <c r="AQ79" s="155">
        <v>3.68</v>
      </c>
      <c r="AR79" s="155">
        <v>3.87</v>
      </c>
      <c r="AS79" s="155">
        <v>3.98</v>
      </c>
      <c r="AT79" s="155">
        <v>4.1</v>
      </c>
      <c r="AU79" s="156">
        <v>0.361</v>
      </c>
      <c r="AV79" s="156">
        <v>0.378</v>
      </c>
      <c r="AW79" s="156">
        <v>0.39</v>
      </c>
      <c r="AX79" s="156">
        <v>0.401</v>
      </c>
      <c r="AY79" s="156">
        <v>0.396</v>
      </c>
      <c r="AZ79" s="156">
        <v>0.383</v>
      </c>
      <c r="BA79" s="157">
        <v>15.57</v>
      </c>
      <c r="BB79" s="157">
        <v>4.73</v>
      </c>
      <c r="BC79" s="157">
        <v>2.07</v>
      </c>
      <c r="BD79" s="157">
        <v>0.74</v>
      </c>
      <c r="BE79" s="157">
        <v>0.51</v>
      </c>
      <c r="BF79" s="157">
        <v>0.4</v>
      </c>
      <c r="BG79" s="158">
        <v>0</v>
      </c>
      <c r="BH79" s="158">
        <v>0</v>
      </c>
      <c r="BI79" s="158">
        <v>0</v>
      </c>
      <c r="BJ79" s="159" t="s">
        <v>202</v>
      </c>
      <c r="BK79" s="171"/>
      <c r="BW79" s="106">
        <v>0</v>
      </c>
      <c r="BX79" s="78">
        <v>819.4333333333332</v>
      </c>
      <c r="BY79" s="78">
        <v>0.532</v>
      </c>
      <c r="BZ79" s="78">
        <v>0.091</v>
      </c>
      <c r="CA79" s="78">
        <v>3.7</v>
      </c>
      <c r="CB79" s="110">
        <v>3.36</v>
      </c>
      <c r="CC79" s="79"/>
    </row>
    <row r="80" spans="1:87" s="61" customFormat="1" ht="12.75" customHeight="1">
      <c r="A80" s="160" t="s">
        <v>205</v>
      </c>
      <c r="B80" s="161" t="s">
        <v>194</v>
      </c>
      <c r="C80" s="161" t="s">
        <v>206</v>
      </c>
      <c r="D80" s="161">
        <v>-10</v>
      </c>
      <c r="E80" s="161">
        <v>100</v>
      </c>
      <c r="F80" s="161"/>
      <c r="G80" s="161" t="s">
        <v>196</v>
      </c>
      <c r="H80" s="161" t="s">
        <v>196</v>
      </c>
      <c r="I80" s="161" t="s">
        <v>196</v>
      </c>
      <c r="J80" s="161">
        <v>-3.0825238618514805</v>
      </c>
      <c r="K80" s="161">
        <v>464.39953883276223</v>
      </c>
      <c r="L80" s="161">
        <v>-181.18501651840535</v>
      </c>
      <c r="M80" s="161">
        <v>-0.6437096774193548</v>
      </c>
      <c r="N80" s="161">
        <v>1040.8620967741936</v>
      </c>
      <c r="O80" s="161">
        <v>0.0005275806451612902</v>
      </c>
      <c r="P80" s="161">
        <v>0.43979919354838704</v>
      </c>
      <c r="Q80" s="161">
        <v>0.002659677419354838</v>
      </c>
      <c r="R80" s="162">
        <v>3.8126532258064514</v>
      </c>
      <c r="S80" s="161"/>
      <c r="T80" s="161"/>
      <c r="U80" s="161"/>
      <c r="V80" s="162"/>
      <c r="W80" s="162"/>
      <c r="X80" s="51"/>
      <c r="Y80" s="51"/>
      <c r="Z80" s="51"/>
      <c r="AA80" s="51"/>
      <c r="AB80" s="51"/>
      <c r="AC80" s="152">
        <v>0</v>
      </c>
      <c r="AD80" s="153">
        <v>25</v>
      </c>
      <c r="AE80" s="153">
        <v>50</v>
      </c>
      <c r="AF80" s="153">
        <v>75</v>
      </c>
      <c r="AG80" s="153">
        <v>100</v>
      </c>
      <c r="AH80" s="153">
        <v>120</v>
      </c>
      <c r="AI80" s="154">
        <v>1036</v>
      </c>
      <c r="AJ80" s="154">
        <v>1026</v>
      </c>
      <c r="AK80" s="154">
        <v>1013</v>
      </c>
      <c r="AL80" s="154">
        <v>996</v>
      </c>
      <c r="AM80" s="154">
        <v>977</v>
      </c>
      <c r="AN80" s="154">
        <v>959</v>
      </c>
      <c r="AO80" s="155">
        <v>3.81</v>
      </c>
      <c r="AP80" s="155">
        <v>3.88</v>
      </c>
      <c r="AQ80" s="155">
        <v>3.95</v>
      </c>
      <c r="AR80" s="155">
        <v>4.01</v>
      </c>
      <c r="AS80" s="155">
        <v>4.08</v>
      </c>
      <c r="AT80" s="155">
        <v>4.13</v>
      </c>
      <c r="AU80" s="156">
        <v>0.428</v>
      </c>
      <c r="AV80" s="156">
        <v>0.456</v>
      </c>
      <c r="AW80" s="156">
        <v>0.476</v>
      </c>
      <c r="AX80" s="156">
        <v>0.489</v>
      </c>
      <c r="AY80" s="156">
        <v>0.493</v>
      </c>
      <c r="AZ80" s="156">
        <v>0.492</v>
      </c>
      <c r="BA80" s="157">
        <v>6.43</v>
      </c>
      <c r="BB80" s="157">
        <v>2.43</v>
      </c>
      <c r="BC80" s="157">
        <v>2.22</v>
      </c>
      <c r="BD80" s="157">
        <v>0.74</v>
      </c>
      <c r="BE80" s="157">
        <v>0.51</v>
      </c>
      <c r="BF80" s="157">
        <v>0.41</v>
      </c>
      <c r="BG80" s="158">
        <v>0</v>
      </c>
      <c r="BH80" s="158">
        <v>0</v>
      </c>
      <c r="BI80" s="158">
        <v>0</v>
      </c>
      <c r="BJ80" s="159" t="s">
        <v>207</v>
      </c>
      <c r="BK80" s="171"/>
      <c r="BW80" s="106">
        <v>20</v>
      </c>
      <c r="BX80" s="78">
        <v>803.7</v>
      </c>
      <c r="BY80" s="78">
        <v>0.58</v>
      </c>
      <c r="BZ80" s="78">
        <v>0.093</v>
      </c>
      <c r="CA80" s="78">
        <v>2.35</v>
      </c>
      <c r="CB80" s="107"/>
      <c r="CC80" s="79"/>
      <c r="CE80" s="61">
        <v>15</v>
      </c>
      <c r="CF80" s="78">
        <v>1264.15</v>
      </c>
      <c r="CH80" s="106">
        <v>60</v>
      </c>
      <c r="CI80" s="61">
        <f aca="true" t="shared" si="15" ref="CI80:CI85">CG$82*CH80+CG$81</f>
        <v>1136.5549999999998</v>
      </c>
    </row>
    <row r="81" spans="1:87" s="61" customFormat="1" ht="12.75" customHeight="1">
      <c r="A81" s="160" t="s">
        <v>208</v>
      </c>
      <c r="B81" s="161" t="s">
        <v>194</v>
      </c>
      <c r="C81" s="161" t="s">
        <v>206</v>
      </c>
      <c r="D81" s="161">
        <v>-20</v>
      </c>
      <c r="E81" s="161">
        <v>100</v>
      </c>
      <c r="F81" s="161"/>
      <c r="G81" s="161" t="s">
        <v>196</v>
      </c>
      <c r="H81" s="161" t="s">
        <v>196</v>
      </c>
      <c r="I81" s="161" t="s">
        <v>196</v>
      </c>
      <c r="J81" s="161">
        <v>-2.8700569486276453</v>
      </c>
      <c r="K81" s="161">
        <v>429.31035766811317</v>
      </c>
      <c r="L81" s="161">
        <v>-194.09173868991576</v>
      </c>
      <c r="M81" s="161">
        <v>-0.6930645161290322</v>
      </c>
      <c r="N81" s="161">
        <v>1049.9056451612903</v>
      </c>
      <c r="O81" s="161">
        <v>0.00039612903225806455</v>
      </c>
      <c r="P81" s="161">
        <v>0.40073870967741937</v>
      </c>
      <c r="Q81" s="161">
        <v>0.0031774193548387095</v>
      </c>
      <c r="R81" s="162">
        <v>3.670725806451613</v>
      </c>
      <c r="S81" s="161"/>
      <c r="T81" s="161"/>
      <c r="U81" s="161"/>
      <c r="V81" s="162"/>
      <c r="W81" s="162"/>
      <c r="X81" s="51"/>
      <c r="Y81" s="51"/>
      <c r="Z81" s="51"/>
      <c r="AA81" s="51"/>
      <c r="AB81" s="51"/>
      <c r="AC81" s="152">
        <v>0</v>
      </c>
      <c r="AD81" s="153">
        <v>25</v>
      </c>
      <c r="AE81" s="153">
        <v>50</v>
      </c>
      <c r="AF81" s="153">
        <v>75</v>
      </c>
      <c r="AG81" s="153">
        <v>100</v>
      </c>
      <c r="AH81" s="153">
        <v>120</v>
      </c>
      <c r="AI81" s="154">
        <v>1045</v>
      </c>
      <c r="AJ81" s="154">
        <v>1034</v>
      </c>
      <c r="AK81" s="154">
        <v>1019</v>
      </c>
      <c r="AL81" s="154">
        <v>1002</v>
      </c>
      <c r="AM81" s="154">
        <v>981</v>
      </c>
      <c r="AN81" s="154">
        <v>962</v>
      </c>
      <c r="AO81" s="155">
        <v>3.67</v>
      </c>
      <c r="AP81" s="155">
        <v>3.75</v>
      </c>
      <c r="AQ81" s="155">
        <v>3.83</v>
      </c>
      <c r="AR81" s="155">
        <v>3.91</v>
      </c>
      <c r="AS81" s="155">
        <v>3.99</v>
      </c>
      <c r="AT81" s="155">
        <v>4.05</v>
      </c>
      <c r="AU81" s="156">
        <v>0.391</v>
      </c>
      <c r="AV81" s="156">
        <v>0.413</v>
      </c>
      <c r="AW81" s="156">
        <v>0.429</v>
      </c>
      <c r="AX81" s="156">
        <v>0.438</v>
      </c>
      <c r="AY81" s="156">
        <v>0.441</v>
      </c>
      <c r="AZ81" s="156">
        <v>0.439</v>
      </c>
      <c r="BA81" s="157">
        <v>11.4</v>
      </c>
      <c r="BB81" s="157">
        <v>3.51</v>
      </c>
      <c r="BC81" s="157">
        <v>1.59</v>
      </c>
      <c r="BD81" s="157">
        <v>0.92</v>
      </c>
      <c r="BE81" s="157">
        <v>0.62</v>
      </c>
      <c r="BF81" s="157">
        <v>0.49</v>
      </c>
      <c r="BG81" s="158">
        <v>0</v>
      </c>
      <c r="BH81" s="158">
        <v>0</v>
      </c>
      <c r="BI81" s="158">
        <v>0</v>
      </c>
      <c r="BJ81" s="159" t="s">
        <v>207</v>
      </c>
      <c r="BK81" s="171"/>
      <c r="BW81" s="106">
        <v>40</v>
      </c>
      <c r="BX81" s="78">
        <v>787.9666666666665</v>
      </c>
      <c r="BY81" s="78">
        <v>0.628</v>
      </c>
      <c r="BZ81" s="78">
        <v>0.095</v>
      </c>
      <c r="CA81" s="78">
        <v>1.5</v>
      </c>
      <c r="CB81" s="110">
        <v>51.9</v>
      </c>
      <c r="CC81" s="79"/>
      <c r="CE81" s="61">
        <v>20</v>
      </c>
      <c r="CF81" s="78">
        <v>1261.08</v>
      </c>
      <c r="CG81" s="61">
        <f>INTERCEPT(CF80:CF83,CE80:CE83)</f>
        <v>1293.347</v>
      </c>
      <c r="CH81" s="106">
        <v>80</v>
      </c>
      <c r="CI81" s="61">
        <f t="shared" si="15"/>
        <v>1084.2909999999997</v>
      </c>
    </row>
    <row r="82" spans="1:87" s="61" customFormat="1" ht="12.75" customHeight="1">
      <c r="A82" s="160" t="s">
        <v>209</v>
      </c>
      <c r="B82" s="161" t="s">
        <v>194</v>
      </c>
      <c r="C82" s="161" t="s">
        <v>206</v>
      </c>
      <c r="D82" s="161">
        <v>-30</v>
      </c>
      <c r="E82" s="161">
        <v>100</v>
      </c>
      <c r="F82" s="161"/>
      <c r="G82" s="161" t="s">
        <v>196</v>
      </c>
      <c r="H82" s="161" t="s">
        <v>196</v>
      </c>
      <c r="I82" s="161" t="s">
        <v>196</v>
      </c>
      <c r="J82" s="161">
        <v>-3.1808055290533455</v>
      </c>
      <c r="K82" s="161">
        <v>558.8975154378073</v>
      </c>
      <c r="L82" s="161">
        <v>-181.13144802028904</v>
      </c>
      <c r="M82" s="161">
        <v>-0.7354838709677419</v>
      </c>
      <c r="N82" s="161">
        <v>1056.8548387096773</v>
      </c>
      <c r="O82" s="161">
        <v>0.00027306451612903247</v>
      </c>
      <c r="P82" s="161">
        <v>0.3649943548387096</v>
      </c>
      <c r="Q82" s="161">
        <v>0.003740322580645163</v>
      </c>
      <c r="R82" s="162">
        <v>3.4993467741935484</v>
      </c>
      <c r="S82" s="161"/>
      <c r="T82" s="161"/>
      <c r="U82" s="161"/>
      <c r="V82" s="162"/>
      <c r="W82" s="162"/>
      <c r="X82" s="51"/>
      <c r="Y82" s="51"/>
      <c r="Z82" s="51"/>
      <c r="AA82" s="51"/>
      <c r="AB82" s="51"/>
      <c r="AC82" s="152">
        <v>0</v>
      </c>
      <c r="AD82" s="153">
        <v>25</v>
      </c>
      <c r="AE82" s="153">
        <v>50</v>
      </c>
      <c r="AF82" s="153">
        <v>75</v>
      </c>
      <c r="AG82" s="153">
        <v>100</v>
      </c>
      <c r="AH82" s="153">
        <v>120</v>
      </c>
      <c r="AI82" s="154">
        <v>1052</v>
      </c>
      <c r="AJ82" s="154">
        <v>1040</v>
      </c>
      <c r="AK82" s="154">
        <v>1024</v>
      </c>
      <c r="AL82" s="154">
        <v>1005</v>
      </c>
      <c r="AM82" s="154">
        <v>984</v>
      </c>
      <c r="AN82" s="154">
        <v>964</v>
      </c>
      <c r="AO82" s="155">
        <v>3.5</v>
      </c>
      <c r="AP82" s="155">
        <v>3.59</v>
      </c>
      <c r="AQ82" s="155">
        <v>3.69</v>
      </c>
      <c r="AR82" s="155">
        <v>3.78</v>
      </c>
      <c r="AS82" s="155">
        <v>3.87</v>
      </c>
      <c r="AT82" s="155">
        <v>3.95</v>
      </c>
      <c r="AU82" s="156">
        <v>0.357</v>
      </c>
      <c r="AV82" s="156">
        <v>0.374</v>
      </c>
      <c r="AW82" s="156">
        <v>0.385</v>
      </c>
      <c r="AX82" s="156">
        <v>0.392</v>
      </c>
      <c r="AY82" s="156">
        <v>0.393</v>
      </c>
      <c r="AZ82" s="156">
        <v>0.39</v>
      </c>
      <c r="BA82" s="157">
        <v>16.33</v>
      </c>
      <c r="BB82" s="157">
        <v>4.93</v>
      </c>
      <c r="BC82" s="157">
        <v>2.14</v>
      </c>
      <c r="BD82" s="157">
        <v>1.18</v>
      </c>
      <c r="BE82" s="157">
        <v>0.76</v>
      </c>
      <c r="BF82" s="157">
        <v>0.58</v>
      </c>
      <c r="BG82" s="158">
        <v>0</v>
      </c>
      <c r="BH82" s="158">
        <v>0</v>
      </c>
      <c r="BI82" s="158">
        <v>0</v>
      </c>
      <c r="BJ82" s="159" t="s">
        <v>207</v>
      </c>
      <c r="BK82" s="171"/>
      <c r="BW82" s="106">
        <v>60</v>
      </c>
      <c r="BX82" s="78">
        <v>772.2333333333331</v>
      </c>
      <c r="BY82" s="78">
        <v>0.672</v>
      </c>
      <c r="BZ82" s="78">
        <v>0.097</v>
      </c>
      <c r="CA82" s="78">
        <v>1</v>
      </c>
      <c r="CB82" s="107"/>
      <c r="CC82" s="79"/>
      <c r="CE82" s="61">
        <v>25</v>
      </c>
      <c r="CF82" s="78">
        <v>1158.02</v>
      </c>
      <c r="CG82" s="61">
        <f>SLOPE(CF80:CF83,CE80:CE83)</f>
        <v>-2.6132000000000017</v>
      </c>
      <c r="CH82" s="106">
        <v>100</v>
      </c>
      <c r="CI82" s="61">
        <f t="shared" si="15"/>
        <v>1032.0269999999998</v>
      </c>
    </row>
    <row r="83" spans="1:87" s="61" customFormat="1" ht="12.75" customHeight="1">
      <c r="A83" s="160" t="s">
        <v>210</v>
      </c>
      <c r="B83" s="161" t="s">
        <v>194</v>
      </c>
      <c r="C83" s="161" t="s">
        <v>201</v>
      </c>
      <c r="D83" s="161">
        <v>-10</v>
      </c>
      <c r="E83" s="161">
        <v>100</v>
      </c>
      <c r="F83" s="161"/>
      <c r="G83" s="161" t="s">
        <v>196</v>
      </c>
      <c r="H83" s="161" t="s">
        <v>196</v>
      </c>
      <c r="I83" s="161" t="s">
        <v>196</v>
      </c>
      <c r="J83" s="161">
        <v>-3.0452419987572217</v>
      </c>
      <c r="K83" s="161">
        <v>463.81059834028224</v>
      </c>
      <c r="L83" s="161">
        <v>-181.23218216247486</v>
      </c>
      <c r="M83" s="161">
        <v>-0.6573067458633859</v>
      </c>
      <c r="N83" s="161">
        <v>1042.7596266440391</v>
      </c>
      <c r="O83" s="161">
        <v>0.0004924480271531607</v>
      </c>
      <c r="P83" s="161">
        <v>0.43525498515061517</v>
      </c>
      <c r="Q83" s="161">
        <v>0.002747305897327112</v>
      </c>
      <c r="R83" s="162">
        <v>3.7934420873992365</v>
      </c>
      <c r="S83" s="161"/>
      <c r="T83" s="161"/>
      <c r="U83" s="161"/>
      <c r="V83" s="162"/>
      <c r="W83" s="162"/>
      <c r="X83" s="51"/>
      <c r="Y83" s="51"/>
      <c r="Z83" s="51"/>
      <c r="AA83" s="51"/>
      <c r="AB83" s="51"/>
      <c r="AC83" s="152">
        <v>10</v>
      </c>
      <c r="AD83" s="153">
        <v>10</v>
      </c>
      <c r="AE83" s="153">
        <v>40</v>
      </c>
      <c r="AF83" s="153">
        <v>65</v>
      </c>
      <c r="AG83" s="153">
        <v>90</v>
      </c>
      <c r="AH83" s="153">
        <v>120</v>
      </c>
      <c r="AI83" s="154">
        <v>1033.71</v>
      </c>
      <c r="AJ83" s="154">
        <v>1033.71</v>
      </c>
      <c r="AK83" s="154">
        <v>1019.56</v>
      </c>
      <c r="AL83" s="154">
        <v>1004.26</v>
      </c>
      <c r="AM83" s="154">
        <v>985.77</v>
      </c>
      <c r="AN83" s="154">
        <v>959.35</v>
      </c>
      <c r="AO83" s="155">
        <v>3.821</v>
      </c>
      <c r="AP83" s="155">
        <v>3.821</v>
      </c>
      <c r="AQ83" s="155">
        <v>3.903</v>
      </c>
      <c r="AR83" s="155">
        <v>3.972</v>
      </c>
      <c r="AS83" s="155">
        <v>4.041</v>
      </c>
      <c r="AT83" s="155">
        <v>4.123</v>
      </c>
      <c r="AU83" s="156">
        <v>0.4344</v>
      </c>
      <c r="AV83" s="156">
        <v>0.4344</v>
      </c>
      <c r="AW83" s="156">
        <v>0.4622</v>
      </c>
      <c r="AX83" s="156">
        <v>0.4771</v>
      </c>
      <c r="AY83" s="156">
        <v>0.4846</v>
      </c>
      <c r="AZ83" s="156">
        <v>0.4838</v>
      </c>
      <c r="BA83" s="157">
        <v>4.5068</v>
      </c>
      <c r="BB83" s="157">
        <v>4.5068</v>
      </c>
      <c r="BC83" s="157">
        <v>1.6295</v>
      </c>
      <c r="BD83" s="157">
        <v>0.9144</v>
      </c>
      <c r="BE83" s="157">
        <v>0.604</v>
      </c>
      <c r="BF83" s="157">
        <v>0.4246</v>
      </c>
      <c r="BG83" s="158">
        <v>0</v>
      </c>
      <c r="BH83" s="158">
        <v>0</v>
      </c>
      <c r="BI83" s="158">
        <v>0</v>
      </c>
      <c r="BJ83" s="159" t="s">
        <v>211</v>
      </c>
      <c r="BK83" s="171"/>
      <c r="BW83" s="111">
        <v>80</v>
      </c>
      <c r="BX83" s="112">
        <v>756.5</v>
      </c>
      <c r="BY83" s="112">
        <v>0.72</v>
      </c>
      <c r="BZ83" s="112">
        <v>0.099</v>
      </c>
      <c r="CA83" s="112">
        <v>0.7</v>
      </c>
      <c r="CB83" s="113">
        <v>380.14</v>
      </c>
      <c r="CC83" s="114"/>
      <c r="CE83" s="61">
        <v>30</v>
      </c>
      <c r="CF83" s="61">
        <v>1254.95</v>
      </c>
      <c r="CH83" s="106">
        <v>120</v>
      </c>
      <c r="CI83" s="61">
        <f t="shared" si="15"/>
        <v>979.7629999999997</v>
      </c>
    </row>
    <row r="84" spans="1:87" s="61" customFormat="1" ht="12.75" customHeight="1">
      <c r="A84" s="160" t="s">
        <v>212</v>
      </c>
      <c r="B84" s="161" t="s">
        <v>194</v>
      </c>
      <c r="C84" s="161" t="s">
        <v>201</v>
      </c>
      <c r="D84" s="161">
        <v>-20</v>
      </c>
      <c r="E84" s="161">
        <v>100</v>
      </c>
      <c r="F84" s="161"/>
      <c r="G84" s="161" t="s">
        <v>196</v>
      </c>
      <c r="H84" s="161" t="s">
        <v>196</v>
      </c>
      <c r="I84" s="161" t="s">
        <v>196</v>
      </c>
      <c r="J84" s="161">
        <v>-2.9578147038717857</v>
      </c>
      <c r="K84" s="161">
        <v>466.73849191292345</v>
      </c>
      <c r="L84" s="161">
        <v>-188.55929702512816</v>
      </c>
      <c r="M84" s="161">
        <v>-0.6488701908038792</v>
      </c>
      <c r="N84" s="161">
        <v>1046.9625680325305</v>
      </c>
      <c r="O84" s="161">
        <v>0.00047405692837034744</v>
      </c>
      <c r="P84" s="161">
        <v>0.38573543947450745</v>
      </c>
      <c r="Q84" s="161">
        <v>0.0033078511104160154</v>
      </c>
      <c r="R84" s="162">
        <v>3.635184235220519</v>
      </c>
      <c r="S84" s="161"/>
      <c r="T84" s="161"/>
      <c r="U84" s="161"/>
      <c r="V84" s="162"/>
      <c r="W84" s="162"/>
      <c r="X84" s="51"/>
      <c r="Y84" s="51"/>
      <c r="Z84" s="51"/>
      <c r="AA84" s="51"/>
      <c r="AB84" s="51"/>
      <c r="AC84" s="152">
        <v>-20</v>
      </c>
      <c r="AD84" s="153">
        <v>10</v>
      </c>
      <c r="AE84" s="153">
        <v>40</v>
      </c>
      <c r="AF84" s="153">
        <v>65</v>
      </c>
      <c r="AG84" s="153">
        <v>90</v>
      </c>
      <c r="AH84" s="153">
        <v>120</v>
      </c>
      <c r="AI84" s="154">
        <v>1053.16</v>
      </c>
      <c r="AJ84" s="154">
        <v>1042.14</v>
      </c>
      <c r="AK84" s="154">
        <v>1026.49</v>
      </c>
      <c r="AL84" s="154">
        <v>1009.9</v>
      </c>
      <c r="AM84" s="154">
        <v>990.1</v>
      </c>
      <c r="AN84" s="154">
        <v>962.08</v>
      </c>
      <c r="AO84" s="155">
        <v>3.569</v>
      </c>
      <c r="AP84" s="155">
        <v>3.668</v>
      </c>
      <c r="AQ84" s="155">
        <v>3.768</v>
      </c>
      <c r="AR84" s="155">
        <v>3.85</v>
      </c>
      <c r="AS84" s="155">
        <v>3.933</v>
      </c>
      <c r="AT84" s="155">
        <v>4.032</v>
      </c>
      <c r="AU84" s="156">
        <v>0.3635</v>
      </c>
      <c r="AV84" s="156">
        <v>0.3936</v>
      </c>
      <c r="AW84" s="156">
        <v>0.415</v>
      </c>
      <c r="AX84" s="156">
        <v>0.4262</v>
      </c>
      <c r="AY84" s="156">
        <v>0.4313</v>
      </c>
      <c r="AZ84" s="156">
        <v>0.4294</v>
      </c>
      <c r="BA84" s="157">
        <v>48.9043</v>
      </c>
      <c r="BB84" s="157">
        <v>7.2173</v>
      </c>
      <c r="BC84" s="157">
        <v>2.2389</v>
      </c>
      <c r="BD84" s="157">
        <v>1.1762</v>
      </c>
      <c r="BE84" s="157">
        <v>0.7462</v>
      </c>
      <c r="BF84" s="157">
        <v>0.5084</v>
      </c>
      <c r="BG84" s="158">
        <v>0</v>
      </c>
      <c r="BH84" s="158">
        <v>0</v>
      </c>
      <c r="BI84" s="158">
        <v>0</v>
      </c>
      <c r="BJ84" s="159" t="s">
        <v>211</v>
      </c>
      <c r="BK84" s="171"/>
      <c r="CH84" s="106">
        <v>140</v>
      </c>
      <c r="CI84" s="61">
        <f t="shared" si="15"/>
        <v>927.4989999999998</v>
      </c>
    </row>
    <row r="85" spans="1:87" s="61" customFormat="1" ht="12.75" customHeight="1">
      <c r="A85" s="160" t="s">
        <v>213</v>
      </c>
      <c r="B85" s="161" t="s">
        <v>194</v>
      </c>
      <c r="C85" s="161" t="s">
        <v>201</v>
      </c>
      <c r="D85" s="161">
        <v>-30</v>
      </c>
      <c r="E85" s="161">
        <v>100</v>
      </c>
      <c r="F85" s="161"/>
      <c r="G85" s="161" t="s">
        <v>196</v>
      </c>
      <c r="H85" s="161" t="s">
        <v>196</v>
      </c>
      <c r="I85" s="161" t="s">
        <v>196</v>
      </c>
      <c r="J85" s="161">
        <v>-3.424163686843416</v>
      </c>
      <c r="K85" s="161">
        <v>657.0851132010429</v>
      </c>
      <c r="L85" s="161">
        <v>-167.97894401335463</v>
      </c>
      <c r="M85" s="161">
        <v>-0.6576978639066285</v>
      </c>
      <c r="N85" s="161">
        <v>1050.3614996696763</v>
      </c>
      <c r="O85" s="161">
        <v>0.0003857432283637964</v>
      </c>
      <c r="P85" s="161">
        <v>0.344008390222418</v>
      </c>
      <c r="Q85" s="161">
        <v>0.003859238053292227</v>
      </c>
      <c r="R85" s="162">
        <v>3.4548465095793874</v>
      </c>
      <c r="S85" s="161"/>
      <c r="T85" s="161"/>
      <c r="U85" s="161"/>
      <c r="V85" s="162"/>
      <c r="W85" s="162"/>
      <c r="X85" s="51"/>
      <c r="Y85" s="51"/>
      <c r="Z85" s="51"/>
      <c r="AA85" s="51"/>
      <c r="AB85" s="51"/>
      <c r="AC85" s="152">
        <v>-30</v>
      </c>
      <c r="AD85" s="153">
        <v>-20</v>
      </c>
      <c r="AE85" s="153">
        <v>10</v>
      </c>
      <c r="AF85" s="153">
        <v>65</v>
      </c>
      <c r="AG85" s="153">
        <v>90</v>
      </c>
      <c r="AH85" s="153">
        <v>120</v>
      </c>
      <c r="AI85" s="154">
        <v>1064.83</v>
      </c>
      <c r="AJ85" s="154">
        <v>1061.71</v>
      </c>
      <c r="AK85" s="154">
        <v>1049.25</v>
      </c>
      <c r="AL85" s="154">
        <v>1014.4</v>
      </c>
      <c r="AM85" s="154">
        <v>993.42</v>
      </c>
      <c r="AN85" s="154">
        <v>964</v>
      </c>
      <c r="AO85" s="155">
        <v>3.339</v>
      </c>
      <c r="AP85" s="155">
        <v>3.378</v>
      </c>
      <c r="AQ85" s="155">
        <v>3.493</v>
      </c>
      <c r="AR85" s="155">
        <v>3.706</v>
      </c>
      <c r="AS85" s="155">
        <v>3.802</v>
      </c>
      <c r="AT85" s="155">
        <v>3.918</v>
      </c>
      <c r="AU85" s="156">
        <v>0.3246</v>
      </c>
      <c r="AV85" s="156">
        <v>0.3336</v>
      </c>
      <c r="AW85" s="156">
        <v>0.356</v>
      </c>
      <c r="AX85" s="156">
        <v>0.3792</v>
      </c>
      <c r="AY85" s="156">
        <v>0.3821</v>
      </c>
      <c r="AZ85" s="156">
        <v>0.3792</v>
      </c>
      <c r="BA85" s="157">
        <v>172.8273</v>
      </c>
      <c r="BB85" s="157">
        <v>73.0193</v>
      </c>
      <c r="BC85" s="157">
        <v>10.6481</v>
      </c>
      <c r="BD85" s="157">
        <v>1.5483</v>
      </c>
      <c r="BE85" s="157">
        <v>0.9339</v>
      </c>
      <c r="BF85" s="157">
        <v>0.6029</v>
      </c>
      <c r="BG85" s="158">
        <v>0</v>
      </c>
      <c r="BH85" s="158">
        <v>0</v>
      </c>
      <c r="BI85" s="158">
        <v>0</v>
      </c>
      <c r="BJ85" s="159" t="s">
        <v>211</v>
      </c>
      <c r="BK85" s="171"/>
      <c r="CH85" s="111">
        <v>160</v>
      </c>
      <c r="CI85" s="61">
        <f t="shared" si="15"/>
        <v>875.2349999999997</v>
      </c>
    </row>
    <row r="86" spans="1:63" s="61" customFormat="1" ht="12.75" customHeight="1">
      <c r="A86" s="160" t="s">
        <v>214</v>
      </c>
      <c r="B86" s="161" t="s">
        <v>194</v>
      </c>
      <c r="C86" s="161" t="s">
        <v>215</v>
      </c>
      <c r="D86" s="161">
        <v>-10</v>
      </c>
      <c r="E86" s="161">
        <v>100</v>
      </c>
      <c r="F86" s="161"/>
      <c r="G86" s="161" t="s">
        <v>196</v>
      </c>
      <c r="H86" s="161" t="s">
        <v>196</v>
      </c>
      <c r="I86" s="161" t="s">
        <v>196</v>
      </c>
      <c r="J86" s="161">
        <v>-3.0452419987572217</v>
      </c>
      <c r="K86" s="161">
        <v>463.81059834028224</v>
      </c>
      <c r="L86" s="161">
        <v>-181.23218216247486</v>
      </c>
      <c r="M86" s="161">
        <v>-0.642240135765803</v>
      </c>
      <c r="N86" s="161">
        <v>1052.615074246924</v>
      </c>
      <c r="O86" s="161">
        <v>0.0004924480271531607</v>
      </c>
      <c r="P86" s="161">
        <v>0.43525498515061517</v>
      </c>
      <c r="Q86" s="161">
        <v>0.0028543063215952513</v>
      </c>
      <c r="R86" s="162">
        <v>3.7273012303775985</v>
      </c>
      <c r="S86" s="161"/>
      <c r="T86" s="161"/>
      <c r="U86" s="161"/>
      <c r="V86" s="162"/>
      <c r="W86" s="162"/>
      <c r="X86" s="51"/>
      <c r="Y86" s="51"/>
      <c r="Z86" s="51"/>
      <c r="AA86" s="51"/>
      <c r="AB86" s="51"/>
      <c r="AC86" s="152">
        <v>10</v>
      </c>
      <c r="AD86" s="153">
        <v>10</v>
      </c>
      <c r="AE86" s="153">
        <v>40</v>
      </c>
      <c r="AF86" s="153">
        <v>65</v>
      </c>
      <c r="AG86" s="153">
        <v>90</v>
      </c>
      <c r="AH86" s="153">
        <v>120</v>
      </c>
      <c r="AI86" s="154">
        <v>1043.85</v>
      </c>
      <c r="AJ86" s="154">
        <v>1043.85</v>
      </c>
      <c r="AK86" s="154">
        <v>1029.85</v>
      </c>
      <c r="AL86" s="154">
        <v>1014.87</v>
      </c>
      <c r="AM86" s="154">
        <v>996.86</v>
      </c>
      <c r="AN86" s="154">
        <v>971.26</v>
      </c>
      <c r="AO86" s="155">
        <v>3.756</v>
      </c>
      <c r="AP86" s="155">
        <v>3.756</v>
      </c>
      <c r="AQ86" s="155">
        <v>3.841</v>
      </c>
      <c r="AR86" s="155">
        <v>3.913</v>
      </c>
      <c r="AS86" s="155">
        <v>3.984</v>
      </c>
      <c r="AT86" s="155">
        <v>4.07</v>
      </c>
      <c r="AU86" s="156">
        <v>0.4344</v>
      </c>
      <c r="AV86" s="156">
        <v>0.4344</v>
      </c>
      <c r="AW86" s="156">
        <v>0.4622</v>
      </c>
      <c r="AX86" s="156">
        <v>0.4771</v>
      </c>
      <c r="AY86" s="156">
        <v>0.4846</v>
      </c>
      <c r="AZ86" s="156">
        <v>0.4838</v>
      </c>
      <c r="BA86" s="157">
        <v>4.5068</v>
      </c>
      <c r="BB86" s="157">
        <v>4.5068</v>
      </c>
      <c r="BC86" s="157">
        <v>1.6295</v>
      </c>
      <c r="BD86" s="157">
        <v>0.9144</v>
      </c>
      <c r="BE86" s="157">
        <v>0.604</v>
      </c>
      <c r="BF86" s="157">
        <v>0.4246</v>
      </c>
      <c r="BG86" s="158">
        <v>0</v>
      </c>
      <c r="BH86" s="158">
        <v>0</v>
      </c>
      <c r="BI86" s="158">
        <v>0</v>
      </c>
      <c r="BJ86" s="159" t="s">
        <v>216</v>
      </c>
      <c r="BK86" s="171"/>
    </row>
    <row r="87" spans="1:63" s="61" customFormat="1" ht="12.75" customHeight="1">
      <c r="A87" s="160" t="s">
        <v>217</v>
      </c>
      <c r="B87" s="161" t="s">
        <v>194</v>
      </c>
      <c r="C87" s="161" t="s">
        <v>215</v>
      </c>
      <c r="D87" s="161">
        <v>-20</v>
      </c>
      <c r="E87" s="161">
        <v>100</v>
      </c>
      <c r="F87" s="161"/>
      <c r="G87" s="161" t="s">
        <v>196</v>
      </c>
      <c r="H87" s="161" t="s">
        <v>196</v>
      </c>
      <c r="I87" s="161" t="s">
        <v>196</v>
      </c>
      <c r="J87" s="161">
        <v>-2.9578147038717857</v>
      </c>
      <c r="K87" s="161">
        <v>466.73849191292345</v>
      </c>
      <c r="L87" s="161">
        <v>-188.55929702512816</v>
      </c>
      <c r="M87" s="161">
        <v>-0.6358185799186743</v>
      </c>
      <c r="N87" s="161">
        <v>1060.2174444791995</v>
      </c>
      <c r="O87" s="161">
        <v>0.00047405692837034744</v>
      </c>
      <c r="P87" s="161">
        <v>0.38573543947450745</v>
      </c>
      <c r="Q87" s="161">
        <v>0.003692148889583987</v>
      </c>
      <c r="R87" s="162">
        <v>3.5268157647794802</v>
      </c>
      <c r="S87" s="161"/>
      <c r="T87" s="161"/>
      <c r="U87" s="161"/>
      <c r="V87" s="162"/>
      <c r="W87" s="162"/>
      <c r="X87" s="51"/>
      <c r="Y87" s="51"/>
      <c r="Z87" s="51"/>
      <c r="AA87" s="51"/>
      <c r="AB87" s="51"/>
      <c r="AC87" s="152">
        <v>-20</v>
      </c>
      <c r="AD87" s="153">
        <v>10</v>
      </c>
      <c r="AE87" s="153">
        <v>40</v>
      </c>
      <c r="AF87" s="153">
        <v>65</v>
      </c>
      <c r="AG87" s="153">
        <v>90</v>
      </c>
      <c r="AH87" s="153">
        <v>120</v>
      </c>
      <c r="AI87" s="154">
        <v>1066.76</v>
      </c>
      <c r="AJ87" s="154">
        <v>1055.38</v>
      </c>
      <c r="AK87" s="154">
        <v>1039.77</v>
      </c>
      <c r="AL87" s="154">
        <v>1023.55</v>
      </c>
      <c r="AM87" s="154">
        <v>1004.39</v>
      </c>
      <c r="AN87" s="154">
        <v>977.53</v>
      </c>
      <c r="AO87" s="155">
        <v>3.453</v>
      </c>
      <c r="AP87" s="155">
        <v>3.564</v>
      </c>
      <c r="AQ87" s="155">
        <v>3.674</v>
      </c>
      <c r="AR87" s="155">
        <v>3.767</v>
      </c>
      <c r="AS87" s="155">
        <v>3.859</v>
      </c>
      <c r="AT87" s="155">
        <v>3.97</v>
      </c>
      <c r="AU87" s="156">
        <v>0.3635</v>
      </c>
      <c r="AV87" s="156">
        <v>0.3936</v>
      </c>
      <c r="AW87" s="156">
        <v>0.415</v>
      </c>
      <c r="AX87" s="156">
        <v>0.4262</v>
      </c>
      <c r="AY87" s="156">
        <v>0.4313</v>
      </c>
      <c r="AZ87" s="156">
        <v>0.4294</v>
      </c>
      <c r="BA87" s="157">
        <v>48.9043</v>
      </c>
      <c r="BB87" s="157">
        <v>7.2173</v>
      </c>
      <c r="BC87" s="157">
        <v>2.2389</v>
      </c>
      <c r="BD87" s="157">
        <v>1.1762</v>
      </c>
      <c r="BE87" s="157">
        <v>0.7462</v>
      </c>
      <c r="BF87" s="157">
        <v>0.5084</v>
      </c>
      <c r="BG87" s="158">
        <v>0</v>
      </c>
      <c r="BH87" s="158">
        <v>0</v>
      </c>
      <c r="BI87" s="158">
        <v>0</v>
      </c>
      <c r="BJ87" s="159" t="s">
        <v>216</v>
      </c>
      <c r="BK87" s="171"/>
    </row>
    <row r="88" spans="1:63" s="61" customFormat="1" ht="12.75" customHeight="1">
      <c r="A88" s="160" t="s">
        <v>218</v>
      </c>
      <c r="B88" s="161" t="s">
        <v>194</v>
      </c>
      <c r="C88" s="161" t="s">
        <v>215</v>
      </c>
      <c r="D88" s="161">
        <v>-30</v>
      </c>
      <c r="E88" s="161">
        <v>100</v>
      </c>
      <c r="F88" s="161"/>
      <c r="G88" s="161" t="s">
        <v>196</v>
      </c>
      <c r="H88" s="161" t="s">
        <v>196</v>
      </c>
      <c r="I88" s="161" t="s">
        <v>196</v>
      </c>
      <c r="J88" s="161">
        <v>-3.424163686843416</v>
      </c>
      <c r="K88" s="161">
        <v>657.0851132010429</v>
      </c>
      <c r="L88" s="161">
        <v>-167.97894401335463</v>
      </c>
      <c r="M88" s="161">
        <v>-0.6496146223298835</v>
      </c>
      <c r="N88" s="161">
        <v>1067.103239374587</v>
      </c>
      <c r="O88" s="161">
        <v>0.0003857432283637964</v>
      </c>
      <c r="P88" s="161">
        <v>0.344008390222418</v>
      </c>
      <c r="Q88" s="161">
        <v>0.004518696322395948</v>
      </c>
      <c r="R88" s="162">
        <v>3.300517727372825</v>
      </c>
      <c r="S88" s="161"/>
      <c r="T88" s="161"/>
      <c r="U88" s="161"/>
      <c r="V88" s="162"/>
      <c r="W88" s="162"/>
      <c r="X88" s="51"/>
      <c r="Y88" s="51"/>
      <c r="Z88" s="51"/>
      <c r="AA88" s="51"/>
      <c r="AB88" s="51"/>
      <c r="AC88" s="152">
        <v>-30</v>
      </c>
      <c r="AD88" s="153">
        <v>-20</v>
      </c>
      <c r="AE88" s="153">
        <v>10</v>
      </c>
      <c r="AF88" s="153">
        <v>65</v>
      </c>
      <c r="AG88" s="153">
        <v>90</v>
      </c>
      <c r="AH88" s="153">
        <v>120</v>
      </c>
      <c r="AI88" s="154">
        <v>1081.98</v>
      </c>
      <c r="AJ88" s="154">
        <v>1078.51</v>
      </c>
      <c r="AK88" s="154">
        <v>1065.4</v>
      </c>
      <c r="AL88" s="154">
        <v>1030.83</v>
      </c>
      <c r="AM88" s="154">
        <v>1010.61</v>
      </c>
      <c r="AN88" s="154">
        <v>982.63</v>
      </c>
      <c r="AO88" s="155">
        <v>3.165</v>
      </c>
      <c r="AP88" s="155">
        <v>3.21</v>
      </c>
      <c r="AQ88" s="155">
        <v>3.346</v>
      </c>
      <c r="AR88" s="155">
        <v>3.594</v>
      </c>
      <c r="AS88" s="155">
        <v>3.707</v>
      </c>
      <c r="AT88" s="155">
        <v>3.843</v>
      </c>
      <c r="AU88" s="156">
        <v>0.3246</v>
      </c>
      <c r="AV88" s="156">
        <v>0.3336</v>
      </c>
      <c r="AW88" s="156">
        <v>0.356</v>
      </c>
      <c r="AX88" s="156">
        <v>0.3792</v>
      </c>
      <c r="AY88" s="156">
        <v>0.3821</v>
      </c>
      <c r="AZ88" s="156">
        <v>0.3792</v>
      </c>
      <c r="BA88" s="157">
        <v>172.8273</v>
      </c>
      <c r="BB88" s="157">
        <v>73.0193</v>
      </c>
      <c r="BC88" s="157">
        <v>10.6481</v>
      </c>
      <c r="BD88" s="157">
        <v>1.5483</v>
      </c>
      <c r="BE88" s="157">
        <v>0.9339</v>
      </c>
      <c r="BF88" s="157">
        <v>0.6029</v>
      </c>
      <c r="BG88" s="158">
        <v>0</v>
      </c>
      <c r="BH88" s="158">
        <v>0</v>
      </c>
      <c r="BI88" s="158">
        <v>0</v>
      </c>
      <c r="BJ88" s="159" t="s">
        <v>216</v>
      </c>
      <c r="BK88" s="171"/>
    </row>
    <row r="89" spans="1:63" s="61" customFormat="1" ht="12.75" customHeight="1">
      <c r="A89" s="160" t="s">
        <v>219</v>
      </c>
      <c r="B89" s="161" t="s">
        <v>194</v>
      </c>
      <c r="C89" s="161" t="s">
        <v>220</v>
      </c>
      <c r="D89" s="161">
        <v>-10</v>
      </c>
      <c r="E89" s="161">
        <v>120</v>
      </c>
      <c r="F89" s="161"/>
      <c r="G89" s="161" t="s">
        <v>196</v>
      </c>
      <c r="H89" s="161" t="s">
        <v>196</v>
      </c>
      <c r="I89" s="161" t="s">
        <v>196</v>
      </c>
      <c r="J89" s="161">
        <v>-3.9933803721085117</v>
      </c>
      <c r="K89" s="161">
        <v>832.5661742535732</v>
      </c>
      <c r="L89" s="161">
        <v>-119.08381837574026</v>
      </c>
      <c r="M89" s="161">
        <v>-0.5842460896767464</v>
      </c>
      <c r="N89" s="161">
        <v>1064.7495863746958</v>
      </c>
      <c r="O89" s="161">
        <v>0.000694744525547445</v>
      </c>
      <c r="P89" s="161">
        <v>0.4347425790754258</v>
      </c>
      <c r="Q89" s="161">
        <v>0.002890719499478625</v>
      </c>
      <c r="R89" s="162">
        <v>3.5710705596107055</v>
      </c>
      <c r="S89" s="161"/>
      <c r="T89" s="161"/>
      <c r="U89" s="161"/>
      <c r="V89" s="162"/>
      <c r="W89" s="162"/>
      <c r="X89" s="51"/>
      <c r="Y89" s="51"/>
      <c r="Z89" s="51"/>
      <c r="AA89" s="51"/>
      <c r="AB89" s="51"/>
      <c r="AC89" s="152">
        <v>-10</v>
      </c>
      <c r="AD89" s="153">
        <v>10</v>
      </c>
      <c r="AE89" s="153">
        <v>40</v>
      </c>
      <c r="AF89" s="153">
        <v>65</v>
      </c>
      <c r="AG89" s="153">
        <v>90</v>
      </c>
      <c r="AH89" s="153">
        <v>120</v>
      </c>
      <c r="AI89" s="154">
        <v>1067.26</v>
      </c>
      <c r="AJ89" s="154">
        <v>1058.99</v>
      </c>
      <c r="AK89" s="154">
        <v>1044.22</v>
      </c>
      <c r="AL89" s="154">
        <v>1029.74</v>
      </c>
      <c r="AM89" s="154">
        <v>1013.29</v>
      </c>
      <c r="AN89" s="154">
        <v>990.96</v>
      </c>
      <c r="AO89" s="155">
        <v>3.542</v>
      </c>
      <c r="AP89" s="155">
        <v>3.6</v>
      </c>
      <c r="AQ89" s="155">
        <v>3.687</v>
      </c>
      <c r="AR89" s="155">
        <v>3.759</v>
      </c>
      <c r="AS89" s="155">
        <v>3.831</v>
      </c>
      <c r="AT89" s="155">
        <v>3.918</v>
      </c>
      <c r="AU89" s="156">
        <v>0.4154</v>
      </c>
      <c r="AV89" s="156">
        <v>0.442</v>
      </c>
      <c r="AW89" s="156">
        <v>0.4731</v>
      </c>
      <c r="AX89" s="156">
        <v>0.4909</v>
      </c>
      <c r="AY89" s="156">
        <v>0.5015</v>
      </c>
      <c r="AZ89" s="156">
        <v>0.5044</v>
      </c>
      <c r="BA89" s="157">
        <v>6.1788</v>
      </c>
      <c r="BB89" s="157">
        <v>2.9482</v>
      </c>
      <c r="BC89" s="157">
        <v>1.3398</v>
      </c>
      <c r="BD89" s="157">
        <v>0.8246</v>
      </c>
      <c r="BE89" s="157">
        <v>0.5599</v>
      </c>
      <c r="BF89" s="157">
        <v>0.3846</v>
      </c>
      <c r="BG89" s="158">
        <v>0</v>
      </c>
      <c r="BH89" s="158">
        <v>0</v>
      </c>
      <c r="BI89" s="158">
        <v>0</v>
      </c>
      <c r="BJ89" s="159" t="s">
        <v>221</v>
      </c>
      <c r="BK89" s="171"/>
    </row>
    <row r="90" spans="1:63" s="61" customFormat="1" ht="12.75" customHeight="1">
      <c r="A90" s="160" t="s">
        <v>222</v>
      </c>
      <c r="B90" s="161" t="s">
        <v>194</v>
      </c>
      <c r="C90" s="161" t="s">
        <v>220</v>
      </c>
      <c r="D90" s="161">
        <v>-20</v>
      </c>
      <c r="E90" s="161">
        <v>120</v>
      </c>
      <c r="F90" s="161"/>
      <c r="G90" s="161" t="s">
        <v>196</v>
      </c>
      <c r="H90" s="161" t="s">
        <v>196</v>
      </c>
      <c r="I90" s="161" t="s">
        <v>196</v>
      </c>
      <c r="J90" s="161">
        <v>-4.412384295122012</v>
      </c>
      <c r="K90" s="161">
        <v>1071.2011275699947</v>
      </c>
      <c r="L90" s="161">
        <v>-98.77456036324512</v>
      </c>
      <c r="M90" s="161">
        <v>-0.6082126994056928</v>
      </c>
      <c r="N90" s="161">
        <v>1080.9774788864563</v>
      </c>
      <c r="O90" s="161">
        <v>0.0006278135752267752</v>
      </c>
      <c r="P90" s="161">
        <v>0.3958861432593056</v>
      </c>
      <c r="Q90" s="161">
        <v>0.003427838598686269</v>
      </c>
      <c r="R90" s="162">
        <v>3.3754182045667815</v>
      </c>
      <c r="S90" s="161"/>
      <c r="T90" s="161"/>
      <c r="U90" s="161"/>
      <c r="V90" s="162"/>
      <c r="W90" s="162"/>
      <c r="X90" s="51"/>
      <c r="Y90" s="51"/>
      <c r="Z90" s="51"/>
      <c r="AA90" s="51"/>
      <c r="AB90" s="51"/>
      <c r="AC90" s="152">
        <v>-20</v>
      </c>
      <c r="AD90" s="153">
        <v>10</v>
      </c>
      <c r="AE90" s="153">
        <v>40</v>
      </c>
      <c r="AF90" s="153">
        <v>65</v>
      </c>
      <c r="AG90" s="153">
        <v>90</v>
      </c>
      <c r="AH90" s="153">
        <v>120</v>
      </c>
      <c r="AI90" s="154">
        <v>1089.06</v>
      </c>
      <c r="AJ90" s="154">
        <v>1075.9</v>
      </c>
      <c r="AK90" s="154">
        <v>1059.95</v>
      </c>
      <c r="AL90" s="154">
        <v>1044.52</v>
      </c>
      <c r="AM90" s="154">
        <v>1027.16</v>
      </c>
      <c r="AN90" s="154">
        <v>1003.77</v>
      </c>
      <c r="AO90" s="155">
        <v>3.307</v>
      </c>
      <c r="AP90" s="155">
        <v>3.41</v>
      </c>
      <c r="AQ90" s="155">
        <v>3.512</v>
      </c>
      <c r="AR90" s="155">
        <v>3.598</v>
      </c>
      <c r="AS90" s="155">
        <v>3.684</v>
      </c>
      <c r="AT90" s="155">
        <v>3.787</v>
      </c>
      <c r="AU90" s="156">
        <v>0.3707</v>
      </c>
      <c r="AV90" s="156">
        <v>0.4053</v>
      </c>
      <c r="AW90" s="156">
        <v>0.4312</v>
      </c>
      <c r="AX90" s="156">
        <v>0.4462</v>
      </c>
      <c r="AY90" s="156">
        <v>0.4552</v>
      </c>
      <c r="AZ90" s="156">
        <v>0.4582</v>
      </c>
      <c r="BA90" s="157">
        <v>15.7533</v>
      </c>
      <c r="BB90" s="157">
        <v>4.0451</v>
      </c>
      <c r="BC90" s="157">
        <v>1.7731</v>
      </c>
      <c r="BD90" s="157">
        <v>1.0646</v>
      </c>
      <c r="BE90" s="157">
        <v>0.7013</v>
      </c>
      <c r="BF90" s="157">
        <v>0.4614</v>
      </c>
      <c r="BG90" s="158">
        <v>0</v>
      </c>
      <c r="BH90" s="158">
        <v>0</v>
      </c>
      <c r="BI90" s="158">
        <v>0</v>
      </c>
      <c r="BJ90" s="159" t="s">
        <v>221</v>
      </c>
      <c r="BK90" s="171"/>
    </row>
    <row r="91" spans="1:63" s="61" customFormat="1" ht="12.75" customHeight="1">
      <c r="A91" s="160" t="s">
        <v>223</v>
      </c>
      <c r="B91" s="161" t="s">
        <v>194</v>
      </c>
      <c r="C91" s="161" t="s">
        <v>220</v>
      </c>
      <c r="D91" s="161">
        <v>-30</v>
      </c>
      <c r="E91" s="161">
        <v>120</v>
      </c>
      <c r="F91" s="161"/>
      <c r="G91" s="161" t="s">
        <v>196</v>
      </c>
      <c r="H91" s="161" t="s">
        <v>196</v>
      </c>
      <c r="I91" s="161" t="s">
        <v>196</v>
      </c>
      <c r="J91" s="161">
        <v>-4.250272939971315</v>
      </c>
      <c r="K91" s="161">
        <v>991.8803996520096</v>
      </c>
      <c r="L91" s="161">
        <v>-118.1087447400423</v>
      </c>
      <c r="M91" s="161">
        <v>-0.6182343096234306</v>
      </c>
      <c r="N91" s="161">
        <v>1094.5425104602512</v>
      </c>
      <c r="O91" s="161">
        <v>0.0005784452763708434</v>
      </c>
      <c r="P91" s="161">
        <v>0.35847756000880865</v>
      </c>
      <c r="Q91" s="161">
        <v>0.003954283197533583</v>
      </c>
      <c r="R91" s="162">
        <v>3.1697905747632684</v>
      </c>
      <c r="S91" s="161"/>
      <c r="T91" s="161"/>
      <c r="U91" s="161"/>
      <c r="V91" s="162"/>
      <c r="W91" s="162"/>
      <c r="X91" s="51"/>
      <c r="Y91" s="51"/>
      <c r="Z91" s="51"/>
      <c r="AA91" s="51"/>
      <c r="AB91" s="51"/>
      <c r="AC91" s="152">
        <v>-30</v>
      </c>
      <c r="AD91" s="153">
        <v>-20</v>
      </c>
      <c r="AE91" s="153">
        <v>10</v>
      </c>
      <c r="AF91" s="153">
        <v>65</v>
      </c>
      <c r="AG91" s="153">
        <v>90</v>
      </c>
      <c r="AH91" s="153">
        <v>120</v>
      </c>
      <c r="AI91" s="154">
        <v>1109.98</v>
      </c>
      <c r="AJ91" s="154">
        <v>1105.84</v>
      </c>
      <c r="AK91" s="154">
        <v>1091.59</v>
      </c>
      <c r="AL91" s="154">
        <v>1058.37</v>
      </c>
      <c r="AM91" s="154">
        <v>1040.23</v>
      </c>
      <c r="AN91" s="154">
        <v>1015.96</v>
      </c>
      <c r="AO91" s="155">
        <v>3.051</v>
      </c>
      <c r="AP91" s="155">
        <v>3.091</v>
      </c>
      <c r="AQ91" s="155">
        <v>3.209</v>
      </c>
      <c r="AR91" s="155">
        <v>3.427</v>
      </c>
      <c r="AS91" s="155">
        <v>3.526</v>
      </c>
      <c r="AT91" s="155">
        <v>3.644</v>
      </c>
      <c r="AU91" s="156">
        <v>0.3333</v>
      </c>
      <c r="AV91" s="156">
        <v>0.3442</v>
      </c>
      <c r="AW91" s="156">
        <v>0.3724</v>
      </c>
      <c r="AX91" s="156">
        <v>0.4062</v>
      </c>
      <c r="AY91" s="156">
        <v>0.4139</v>
      </c>
      <c r="AZ91" s="156">
        <v>0.4168</v>
      </c>
      <c r="BA91" s="157">
        <v>43.997</v>
      </c>
      <c r="BB91" s="157">
        <v>22.0816</v>
      </c>
      <c r="BC91" s="157">
        <v>5.5071</v>
      </c>
      <c r="BD91" s="157">
        <v>1.2936</v>
      </c>
      <c r="BE91" s="157">
        <v>0.8227</v>
      </c>
      <c r="BF91" s="157">
        <v>0.5252</v>
      </c>
      <c r="BG91" s="158">
        <v>0</v>
      </c>
      <c r="BH91" s="158">
        <v>0</v>
      </c>
      <c r="BI91" s="158">
        <v>0</v>
      </c>
      <c r="BJ91" s="159" t="s">
        <v>221</v>
      </c>
      <c r="BK91" s="171"/>
    </row>
    <row r="92" spans="1:63" s="61" customFormat="1" ht="12.75" customHeight="1">
      <c r="A92" s="160" t="s">
        <v>224</v>
      </c>
      <c r="B92" s="161" t="s">
        <v>194</v>
      </c>
      <c r="C92" s="161" t="s">
        <v>225</v>
      </c>
      <c r="D92" s="161">
        <v>15</v>
      </c>
      <c r="E92" s="161">
        <v>400</v>
      </c>
      <c r="F92" s="161"/>
      <c r="G92" s="161">
        <v>8.728975337964725</v>
      </c>
      <c r="H92" s="161">
        <v>3828.1053744947753</v>
      </c>
      <c r="I92" s="161">
        <v>392.51071348181597</v>
      </c>
      <c r="J92" s="161">
        <v>-5.485030147447083</v>
      </c>
      <c r="K92" s="161">
        <v>2637.3596035352953</v>
      </c>
      <c r="L92" s="161">
        <v>105.66650445523238</v>
      </c>
      <c r="M92" s="161">
        <v>-0.9893497199751089</v>
      </c>
      <c r="N92" s="161">
        <v>1091.5086963285626</v>
      </c>
      <c r="O92" s="161">
        <v>-0.00016</v>
      </c>
      <c r="P92" s="161">
        <v>0.1419</v>
      </c>
      <c r="Q92" s="161">
        <v>0.0029467330429371495</v>
      </c>
      <c r="R92" s="162">
        <v>1.5008761667703796</v>
      </c>
      <c r="S92" s="161">
        <v>113</v>
      </c>
      <c r="T92" s="161">
        <v>257</v>
      </c>
      <c r="U92" s="161" t="s">
        <v>226</v>
      </c>
      <c r="V92" s="162"/>
      <c r="W92" s="162"/>
      <c r="X92" s="51"/>
      <c r="Y92" s="51"/>
      <c r="Z92" s="51"/>
      <c r="AA92" s="51"/>
      <c r="AB92" s="51"/>
      <c r="AC92" s="152">
        <v>15</v>
      </c>
      <c r="AD92" s="153">
        <v>65</v>
      </c>
      <c r="AE92" s="153">
        <v>155</v>
      </c>
      <c r="AF92" s="153">
        <v>205</v>
      </c>
      <c r="AG92" s="153">
        <v>305</v>
      </c>
      <c r="AH92" s="153">
        <v>405</v>
      </c>
      <c r="AI92" s="154">
        <v>1063.5</v>
      </c>
      <c r="AJ92" s="154">
        <v>1023.7</v>
      </c>
      <c r="AK92" s="154">
        <v>947.8</v>
      </c>
      <c r="AL92" s="154">
        <v>902.5</v>
      </c>
      <c r="AM92" s="154">
        <v>801.3</v>
      </c>
      <c r="AN92" s="154">
        <v>672.5</v>
      </c>
      <c r="AO92" s="155">
        <v>1.558</v>
      </c>
      <c r="AP92" s="155">
        <v>1.701</v>
      </c>
      <c r="AQ92" s="155">
        <v>1.954</v>
      </c>
      <c r="AR92" s="155">
        <v>2.083</v>
      </c>
      <c r="AS92" s="155">
        <v>2.373</v>
      </c>
      <c r="AT92" s="155">
        <v>2.725</v>
      </c>
      <c r="AU92" s="156">
        <v>0.1395</v>
      </c>
      <c r="AV92" s="156">
        <v>0.1315</v>
      </c>
      <c r="AW92" s="156">
        <v>0.1171</v>
      </c>
      <c r="AX92" s="156">
        <v>0.1091</v>
      </c>
      <c r="AY92" s="156">
        <v>0.0931</v>
      </c>
      <c r="AZ92" s="156">
        <v>0.0771</v>
      </c>
      <c r="BA92" s="157">
        <v>5</v>
      </c>
      <c r="BB92" s="157">
        <v>1.58</v>
      </c>
      <c r="BC92" s="157">
        <v>0.56</v>
      </c>
      <c r="BD92" s="157">
        <v>0.38</v>
      </c>
      <c r="BE92" s="157">
        <v>0.2</v>
      </c>
      <c r="BF92" s="157">
        <v>0.12</v>
      </c>
      <c r="BG92" s="158">
        <v>2.3</v>
      </c>
      <c r="BH92" s="158">
        <v>210</v>
      </c>
      <c r="BI92" s="158">
        <v>8490</v>
      </c>
      <c r="BJ92" s="159" t="s">
        <v>227</v>
      </c>
      <c r="BK92" s="171"/>
    </row>
    <row r="93" spans="1:63" s="61" customFormat="1" ht="12.75" customHeight="1">
      <c r="A93" s="160" t="s">
        <v>228</v>
      </c>
      <c r="B93" s="161" t="s">
        <v>194</v>
      </c>
      <c r="C93" s="161" t="s">
        <v>229</v>
      </c>
      <c r="D93" s="161">
        <v>-6</v>
      </c>
      <c r="E93" s="161">
        <v>360</v>
      </c>
      <c r="F93" s="161"/>
      <c r="G93" s="161">
        <v>28.143077539938176</v>
      </c>
      <c r="H93" s="161">
        <v>70966.91185423917</v>
      </c>
      <c r="I93" s="161">
        <v>2506.6471707306773</v>
      </c>
      <c r="J93" s="161">
        <v>-4.208744003717896</v>
      </c>
      <c r="K93" s="161">
        <v>1446.7466391458026</v>
      </c>
      <c r="L93" s="161">
        <v>-80.3558975103669</v>
      </c>
      <c r="M93" s="161">
        <v>-0.7747175480769233</v>
      </c>
      <c r="N93" s="161">
        <v>1062.3460036057693</v>
      </c>
      <c r="O93" s="161">
        <v>-0.00011579927884615386</v>
      </c>
      <c r="P93" s="161">
        <v>0.12872088341346155</v>
      </c>
      <c r="Q93" s="161">
        <v>0.0034970552884615383</v>
      </c>
      <c r="R93" s="162">
        <v>1.4756427283653846</v>
      </c>
      <c r="S93" s="161">
        <v>280</v>
      </c>
      <c r="T93" s="161">
        <v>552</v>
      </c>
      <c r="U93" s="161" t="s">
        <v>230</v>
      </c>
      <c r="V93" s="162"/>
      <c r="W93" s="162"/>
      <c r="X93" s="51"/>
      <c r="Y93" s="51"/>
      <c r="Z93" s="51"/>
      <c r="AA93" s="51"/>
      <c r="AB93" s="51"/>
      <c r="AC93" s="152">
        <v>-5</v>
      </c>
      <c r="AD93" s="153">
        <v>15</v>
      </c>
      <c r="AE93" s="153">
        <v>115</v>
      </c>
      <c r="AF93" s="153">
        <v>195</v>
      </c>
      <c r="AG93" s="153">
        <v>275</v>
      </c>
      <c r="AH93" s="153">
        <v>375</v>
      </c>
      <c r="AI93" s="154">
        <v>1066.2</v>
      </c>
      <c r="AJ93" s="154">
        <v>1050.7</v>
      </c>
      <c r="AK93" s="154">
        <v>973.3</v>
      </c>
      <c r="AL93" s="154">
        <v>911.3</v>
      </c>
      <c r="AM93" s="154">
        <v>849.3</v>
      </c>
      <c r="AN93" s="154">
        <v>771.8</v>
      </c>
      <c r="AO93" s="155">
        <v>1.458</v>
      </c>
      <c r="AP93" s="155">
        <v>1.528</v>
      </c>
      <c r="AQ93" s="155">
        <v>1.878</v>
      </c>
      <c r="AR93" s="155">
        <v>2.158</v>
      </c>
      <c r="AS93" s="155">
        <v>2.437</v>
      </c>
      <c r="AT93" s="155">
        <v>2.787</v>
      </c>
      <c r="AU93" s="156">
        <v>0.1293</v>
      </c>
      <c r="AV93" s="156">
        <v>0.127</v>
      </c>
      <c r="AW93" s="156">
        <v>0.1154</v>
      </c>
      <c r="AX93" s="156">
        <v>0.1061</v>
      </c>
      <c r="AY93" s="156">
        <v>0.0969</v>
      </c>
      <c r="AZ93" s="156">
        <v>0.0853</v>
      </c>
      <c r="BA93" s="157">
        <v>55.9</v>
      </c>
      <c r="BB93" s="157">
        <v>15.7</v>
      </c>
      <c r="BC93" s="157">
        <v>1.45</v>
      </c>
      <c r="BD93" s="157">
        <v>0.62</v>
      </c>
      <c r="BE93" s="157">
        <v>0.34</v>
      </c>
      <c r="BF93" s="157">
        <v>0.19</v>
      </c>
      <c r="BG93" s="158">
        <v>1</v>
      </c>
      <c r="BH93" s="158">
        <v>75</v>
      </c>
      <c r="BI93" s="158">
        <v>3280</v>
      </c>
      <c r="BJ93" s="159" t="s">
        <v>231</v>
      </c>
      <c r="BK93" s="171"/>
    </row>
    <row r="94" spans="1:63" s="61" customFormat="1" ht="12.75" customHeight="1">
      <c r="A94" s="160" t="s">
        <v>232</v>
      </c>
      <c r="B94" s="161" t="s">
        <v>194</v>
      </c>
      <c r="C94" s="161" t="s">
        <v>233</v>
      </c>
      <c r="D94" s="161">
        <v>-80</v>
      </c>
      <c r="E94" s="161">
        <v>315</v>
      </c>
      <c r="F94" s="161"/>
      <c r="G94" s="161">
        <v>59.09740797140913</v>
      </c>
      <c r="H94" s="161">
        <v>290462.7583425031</v>
      </c>
      <c r="I94" s="161">
        <v>4950.0740201875005</v>
      </c>
      <c r="J94" s="161">
        <v>-3.0706339786189223</v>
      </c>
      <c r="K94" s="161">
        <v>638.5206929877153</v>
      </c>
      <c r="L94" s="161">
        <v>-77.4039510091405</v>
      </c>
      <c r="M94" s="161">
        <v>-0.9149391304347826</v>
      </c>
      <c r="N94" s="161">
        <v>873.6790724637681</v>
      </c>
      <c r="O94" s="161">
        <v>-0.00021071304347826088</v>
      </c>
      <c r="P94" s="161">
        <v>0.13231657971014493</v>
      </c>
      <c r="Q94" s="161">
        <v>0.0036266956521739126</v>
      </c>
      <c r="R94" s="162">
        <v>1.8039646376811596</v>
      </c>
      <c r="S94" s="161">
        <v>57</v>
      </c>
      <c r="T94" s="161">
        <v>181</v>
      </c>
      <c r="U94" s="161" t="s">
        <v>234</v>
      </c>
      <c r="V94" s="162"/>
      <c r="W94" s="162"/>
      <c r="X94" s="51"/>
      <c r="Y94" s="51"/>
      <c r="Z94" s="51"/>
      <c r="AA94" s="51"/>
      <c r="AB94" s="51"/>
      <c r="AC94" s="152">
        <v>-80</v>
      </c>
      <c r="AD94" s="153">
        <v>-60</v>
      </c>
      <c r="AE94" s="153">
        <v>0</v>
      </c>
      <c r="AF94" s="153">
        <v>80</v>
      </c>
      <c r="AG94" s="153">
        <v>160</v>
      </c>
      <c r="AH94" s="153">
        <v>320</v>
      </c>
      <c r="AI94" s="154">
        <v>931.3</v>
      </c>
      <c r="AJ94" s="154">
        <v>921</v>
      </c>
      <c r="AK94" s="154">
        <v>878.5</v>
      </c>
      <c r="AL94" s="154">
        <v>817.4</v>
      </c>
      <c r="AM94" s="154">
        <v>749.2</v>
      </c>
      <c r="AN94" s="154">
        <v>560.4</v>
      </c>
      <c r="AO94" s="155">
        <v>1.584</v>
      </c>
      <c r="AP94" s="155">
        <v>1.616</v>
      </c>
      <c r="AQ94" s="155">
        <v>1.769</v>
      </c>
      <c r="AR94" s="155">
        <v>2.023</v>
      </c>
      <c r="AS94" s="155">
        <v>2.315</v>
      </c>
      <c r="AT94" s="155">
        <v>3.04</v>
      </c>
      <c r="AU94" s="156">
        <v>0.1485</v>
      </c>
      <c r="AV94" s="156">
        <v>0.1453</v>
      </c>
      <c r="AW94" s="156">
        <v>0.1326</v>
      </c>
      <c r="AX94" s="156">
        <v>0.1156</v>
      </c>
      <c r="AY94" s="156">
        <v>0.0987</v>
      </c>
      <c r="AZ94" s="156">
        <v>0.0647</v>
      </c>
      <c r="BA94" s="157">
        <v>8.43</v>
      </c>
      <c r="BB94" s="157">
        <v>5.12</v>
      </c>
      <c r="BC94" s="157">
        <v>1.23</v>
      </c>
      <c r="BD94" s="157">
        <v>0.47</v>
      </c>
      <c r="BE94" s="157">
        <v>0.28</v>
      </c>
      <c r="BF94" s="157">
        <v>0.16</v>
      </c>
      <c r="BG94" s="158">
        <v>0.5</v>
      </c>
      <c r="BH94" s="158">
        <v>22.5</v>
      </c>
      <c r="BI94" s="158">
        <v>9592</v>
      </c>
      <c r="BJ94" s="159" t="s">
        <v>235</v>
      </c>
      <c r="BK94" s="171"/>
    </row>
    <row r="95" spans="1:63" s="61" customFormat="1" ht="12.75" customHeight="1">
      <c r="A95" s="160" t="s">
        <v>236</v>
      </c>
      <c r="B95" s="161" t="s">
        <v>194</v>
      </c>
      <c r="C95" s="161" t="s">
        <v>237</v>
      </c>
      <c r="D95" s="161">
        <v>-20</v>
      </c>
      <c r="E95" s="161">
        <v>330</v>
      </c>
      <c r="F95" s="161"/>
      <c r="G95" s="161">
        <v>-416.75837330862123</v>
      </c>
      <c r="H95" s="161">
        <v>15972101.99704768</v>
      </c>
      <c r="I95" s="161">
        <v>-38392.312075921414</v>
      </c>
      <c r="J95" s="161">
        <v>-4.547012548407211</v>
      </c>
      <c r="K95" s="161">
        <v>1505.768211698119</v>
      </c>
      <c r="L95" s="161">
        <v>-91.45165063848721</v>
      </c>
      <c r="M95" s="161">
        <v>-0.7758592132505174</v>
      </c>
      <c r="N95" s="161">
        <v>979.0293995859213</v>
      </c>
      <c r="O95" s="161">
        <v>-0.00010507246376811596</v>
      </c>
      <c r="P95" s="161">
        <v>0.12502898550724637</v>
      </c>
      <c r="Q95" s="161">
        <v>0.0032499999999999994</v>
      </c>
      <c r="R95" s="162">
        <v>1.545</v>
      </c>
      <c r="S95" s="161">
        <v>165</v>
      </c>
      <c r="T95" s="161">
        <v>328</v>
      </c>
      <c r="U95" s="161"/>
      <c r="V95" s="162"/>
      <c r="W95" s="162"/>
      <c r="X95" s="51"/>
      <c r="Y95" s="51"/>
      <c r="Z95" s="51"/>
      <c r="AA95" s="51"/>
      <c r="AB95" s="51"/>
      <c r="AC95" s="152">
        <v>-20</v>
      </c>
      <c r="AD95" s="153">
        <v>40</v>
      </c>
      <c r="AE95" s="153">
        <v>160</v>
      </c>
      <c r="AF95" s="153">
        <v>220</v>
      </c>
      <c r="AG95" s="153">
        <v>280</v>
      </c>
      <c r="AH95" s="153">
        <v>340</v>
      </c>
      <c r="AI95" s="154">
        <v>989.8</v>
      </c>
      <c r="AJ95" s="154">
        <v>948.2</v>
      </c>
      <c r="AK95" s="154">
        <v>860.4</v>
      </c>
      <c r="AL95" s="154">
        <v>813.2</v>
      </c>
      <c r="AM95" s="154">
        <v>763</v>
      </c>
      <c r="AN95" s="154">
        <v>708.2</v>
      </c>
      <c r="AO95" s="155">
        <v>1.48</v>
      </c>
      <c r="AP95" s="155">
        <v>1.675</v>
      </c>
      <c r="AQ95" s="155">
        <v>2.065</v>
      </c>
      <c r="AR95" s="155">
        <v>2.26</v>
      </c>
      <c r="AS95" s="155">
        <v>2.455</v>
      </c>
      <c r="AT95" s="155">
        <v>2.65</v>
      </c>
      <c r="AU95" s="156">
        <v>0.127</v>
      </c>
      <c r="AV95" s="156">
        <v>0.121</v>
      </c>
      <c r="AW95" s="156">
        <v>0.108</v>
      </c>
      <c r="AX95" s="156">
        <v>0.102</v>
      </c>
      <c r="AY95" s="156">
        <v>0.096</v>
      </c>
      <c r="AZ95" s="156">
        <v>0.089</v>
      </c>
      <c r="BA95" s="157">
        <v>213.9</v>
      </c>
      <c r="BB95" s="157">
        <v>9.44</v>
      </c>
      <c r="BC95" s="157">
        <v>0.85</v>
      </c>
      <c r="BD95" s="157">
        <v>0.45</v>
      </c>
      <c r="BE95" s="157">
        <v>0.28</v>
      </c>
      <c r="BF95" s="157">
        <v>0.19</v>
      </c>
      <c r="BG95" s="158">
        <v>0.5</v>
      </c>
      <c r="BH95" s="158">
        <v>46</v>
      </c>
      <c r="BI95" s="158">
        <v>960</v>
      </c>
      <c r="BJ95" s="159" t="s">
        <v>238</v>
      </c>
      <c r="BK95" s="171"/>
    </row>
    <row r="96" spans="1:63" s="61" customFormat="1" ht="12.75" customHeight="1">
      <c r="A96" s="160" t="s">
        <v>239</v>
      </c>
      <c r="B96" s="161" t="s">
        <v>194</v>
      </c>
      <c r="C96" s="161" t="s">
        <v>240</v>
      </c>
      <c r="D96" s="161">
        <v>-35</v>
      </c>
      <c r="E96" s="161">
        <v>330</v>
      </c>
      <c r="F96" s="161"/>
      <c r="G96" s="161">
        <v>25.635333053602842</v>
      </c>
      <c r="H96" s="161">
        <v>53251.606930653135</v>
      </c>
      <c r="I96" s="161">
        <v>2053.164001039786</v>
      </c>
      <c r="J96" s="161">
        <v>-3.391542750341433</v>
      </c>
      <c r="K96" s="161">
        <v>743.0915819605494</v>
      </c>
      <c r="L96" s="161">
        <v>-135.90678399878377</v>
      </c>
      <c r="M96" s="161">
        <v>-0.7628175382676701</v>
      </c>
      <c r="N96" s="161">
        <v>982.128019717579</v>
      </c>
      <c r="O96" s="161">
        <v>-0.0001487276231422112</v>
      </c>
      <c r="P96" s="161">
        <v>0.12423762277158001</v>
      </c>
      <c r="Q96" s="161">
        <v>0.0030301026648382203</v>
      </c>
      <c r="R96" s="162">
        <v>1.5927945591342056</v>
      </c>
      <c r="S96" s="161">
        <v>120</v>
      </c>
      <c r="T96" s="161">
        <v>267</v>
      </c>
      <c r="U96" s="161" t="s">
        <v>241</v>
      </c>
      <c r="V96" s="162"/>
      <c r="W96" s="162"/>
      <c r="X96" s="51"/>
      <c r="Y96" s="51"/>
      <c r="Z96" s="51"/>
      <c r="AA96" s="51"/>
      <c r="AB96" s="51"/>
      <c r="AC96" s="152">
        <v>-35</v>
      </c>
      <c r="AD96" s="153">
        <v>0</v>
      </c>
      <c r="AE96" s="153">
        <v>80</v>
      </c>
      <c r="AF96" s="153">
        <v>160</v>
      </c>
      <c r="AG96" s="153">
        <v>240</v>
      </c>
      <c r="AH96" s="153">
        <v>360</v>
      </c>
      <c r="AI96" s="154">
        <v>1011.4</v>
      </c>
      <c r="AJ96" s="154">
        <v>980.5</v>
      </c>
      <c r="AK96" s="154">
        <v>920</v>
      </c>
      <c r="AL96" s="154">
        <v>859.5</v>
      </c>
      <c r="AM96" s="154">
        <v>799</v>
      </c>
      <c r="AN96" s="154">
        <v>708.3</v>
      </c>
      <c r="AO96" s="155">
        <v>1.478</v>
      </c>
      <c r="AP96" s="155">
        <v>1.589</v>
      </c>
      <c r="AQ96" s="155">
        <v>1.842</v>
      </c>
      <c r="AR96" s="155">
        <v>2.088</v>
      </c>
      <c r="AS96" s="155">
        <v>2.327</v>
      </c>
      <c r="AT96" s="155">
        <v>2.672</v>
      </c>
      <c r="AU96" s="156">
        <v>0.128</v>
      </c>
      <c r="AV96" s="156">
        <v>0.1244</v>
      </c>
      <c r="AW96" s="156">
        <v>0.1143</v>
      </c>
      <c r="AX96" s="156">
        <v>0.1028</v>
      </c>
      <c r="AY96" s="156">
        <v>0.0843</v>
      </c>
      <c r="AZ96" s="156">
        <v>0.0719</v>
      </c>
      <c r="BA96" s="157">
        <v>46.6</v>
      </c>
      <c r="BB96" s="157">
        <v>7.56</v>
      </c>
      <c r="BC96" s="157">
        <v>1.07</v>
      </c>
      <c r="BD96" s="157">
        <v>0.41</v>
      </c>
      <c r="BE96" s="157">
        <v>0.24</v>
      </c>
      <c r="BF96" s="157">
        <v>0.15</v>
      </c>
      <c r="BG96" s="158">
        <v>0.5</v>
      </c>
      <c r="BH96" s="158">
        <v>37.5</v>
      </c>
      <c r="BI96" s="158">
        <v>3700</v>
      </c>
      <c r="BJ96" s="159" t="s">
        <v>242</v>
      </c>
      <c r="BK96" s="171"/>
    </row>
    <row r="97" spans="1:63" s="61" customFormat="1" ht="12.75" customHeight="1">
      <c r="A97" s="160" t="s">
        <v>243</v>
      </c>
      <c r="B97" s="161" t="s">
        <v>194</v>
      </c>
      <c r="C97" s="161" t="s">
        <v>244</v>
      </c>
      <c r="D97" s="161">
        <v>10</v>
      </c>
      <c r="E97" s="161">
        <v>350</v>
      </c>
      <c r="F97" s="161"/>
      <c r="G97" s="161">
        <v>-15.643923815008996</v>
      </c>
      <c r="H97" s="161">
        <v>25860.13955394059</v>
      </c>
      <c r="I97" s="161">
        <v>-1755.4799269571267</v>
      </c>
      <c r="J97" s="161">
        <v>-3.1990303131628917</v>
      </c>
      <c r="K97" s="161">
        <v>983.1702241569591</v>
      </c>
      <c r="L97" s="161">
        <v>-141.82820528660335</v>
      </c>
      <c r="M97" s="161">
        <v>-0.7434472049689442</v>
      </c>
      <c r="N97" s="161">
        <v>1046.47049689441</v>
      </c>
      <c r="O97" s="161">
        <v>-0.00012966873706004144</v>
      </c>
      <c r="P97" s="161">
        <v>0.13397370600414077</v>
      </c>
      <c r="Q97" s="161">
        <v>0.0029748447204968943</v>
      </c>
      <c r="R97" s="162">
        <v>1.5610279503105593</v>
      </c>
      <c r="S97" s="161">
        <v>194</v>
      </c>
      <c r="T97" s="161">
        <v>353</v>
      </c>
      <c r="U97" s="161"/>
      <c r="V97" s="162"/>
      <c r="W97" s="162"/>
      <c r="X97" s="51"/>
      <c r="Y97" s="51"/>
      <c r="Z97" s="51"/>
      <c r="AA97" s="51"/>
      <c r="AB97" s="51"/>
      <c r="AC97" s="152">
        <v>10</v>
      </c>
      <c r="AD97" s="153">
        <v>70</v>
      </c>
      <c r="AE97" s="153">
        <v>130</v>
      </c>
      <c r="AF97" s="153">
        <v>190</v>
      </c>
      <c r="AG97" s="153">
        <v>310</v>
      </c>
      <c r="AH97" s="153">
        <v>370</v>
      </c>
      <c r="AI97" s="154">
        <v>1036.2</v>
      </c>
      <c r="AJ97" s="154">
        <v>994.2</v>
      </c>
      <c r="AK97" s="154">
        <v>951.7</v>
      </c>
      <c r="AL97" s="154">
        <v>908.3</v>
      </c>
      <c r="AM97" s="154">
        <v>817.4</v>
      </c>
      <c r="AN97" s="154">
        <v>768.1</v>
      </c>
      <c r="AO97" s="155">
        <v>1.591</v>
      </c>
      <c r="AP97" s="155">
        <v>1.769</v>
      </c>
      <c r="AQ97" s="155">
        <v>1.948</v>
      </c>
      <c r="AR97" s="155">
        <v>2.126</v>
      </c>
      <c r="AS97" s="155">
        <v>2.483</v>
      </c>
      <c r="AT97" s="155">
        <v>2.662</v>
      </c>
      <c r="AU97" s="156">
        <v>0.1327</v>
      </c>
      <c r="AV97" s="156">
        <v>0.1249</v>
      </c>
      <c r="AW97" s="156">
        <v>0.1171</v>
      </c>
      <c r="AX97" s="156">
        <v>0.1093</v>
      </c>
      <c r="AY97" s="156">
        <v>0.0938</v>
      </c>
      <c r="AZ97" s="156">
        <v>0.086</v>
      </c>
      <c r="BA97" s="157">
        <v>88.17</v>
      </c>
      <c r="BB97" s="157">
        <v>5.39</v>
      </c>
      <c r="BC97" s="157">
        <v>1.71</v>
      </c>
      <c r="BD97" s="157">
        <v>0.87</v>
      </c>
      <c r="BE97" s="157">
        <v>0.38</v>
      </c>
      <c r="BF97" s="157">
        <v>0.29</v>
      </c>
      <c r="BG97" s="158">
        <v>0.5</v>
      </c>
      <c r="BH97" s="158">
        <v>7.5</v>
      </c>
      <c r="BI97" s="158">
        <v>1050</v>
      </c>
      <c r="BJ97" s="159" t="s">
        <v>245</v>
      </c>
      <c r="BK97" s="171"/>
    </row>
    <row r="98" spans="1:63" s="61" customFormat="1" ht="12.75" customHeight="1">
      <c r="A98" s="160" t="s">
        <v>246</v>
      </c>
      <c r="B98" s="161" t="s">
        <v>194</v>
      </c>
      <c r="C98" s="161" t="s">
        <v>247</v>
      </c>
      <c r="D98" s="161">
        <v>-10</v>
      </c>
      <c r="E98" s="161">
        <v>120</v>
      </c>
      <c r="F98" s="161"/>
      <c r="G98" s="161" t="s">
        <v>196</v>
      </c>
      <c r="H98" s="161" t="s">
        <v>196</v>
      </c>
      <c r="I98" s="161" t="s">
        <v>196</v>
      </c>
      <c r="J98" s="161">
        <v>-3.9933803721085117</v>
      </c>
      <c r="K98" s="161">
        <v>832.5661742535732</v>
      </c>
      <c r="L98" s="161">
        <v>-119.08381837574026</v>
      </c>
      <c r="M98" s="161">
        <v>-0.5415140771637128</v>
      </c>
      <c r="N98" s="161">
        <v>1055.1994890510948</v>
      </c>
      <c r="O98" s="161">
        <v>0.000694744525547445</v>
      </c>
      <c r="P98" s="161">
        <v>0.4347425790754258</v>
      </c>
      <c r="Q98" s="161">
        <v>0.002838164754953077</v>
      </c>
      <c r="R98" s="162">
        <v>3.5904963503649636</v>
      </c>
      <c r="S98" s="161"/>
      <c r="T98" s="161"/>
      <c r="U98" s="161"/>
      <c r="V98" s="162"/>
      <c r="W98" s="162"/>
      <c r="X98" s="51"/>
      <c r="Y98" s="51"/>
      <c r="Z98" s="51"/>
      <c r="AA98" s="51"/>
      <c r="AB98" s="51"/>
      <c r="AC98" s="152">
        <v>-10</v>
      </c>
      <c r="AD98" s="153">
        <v>10</v>
      </c>
      <c r="AE98" s="153">
        <v>40</v>
      </c>
      <c r="AF98" s="153">
        <v>65</v>
      </c>
      <c r="AG98" s="153">
        <v>90</v>
      </c>
      <c r="AH98" s="153">
        <v>120</v>
      </c>
      <c r="AI98" s="154">
        <v>1055.47</v>
      </c>
      <c r="AJ98" s="154">
        <v>1049.91</v>
      </c>
      <c r="AK98" s="154">
        <v>1037.92</v>
      </c>
      <c r="AL98" s="154">
        <v>1024.59</v>
      </c>
      <c r="AM98" s="154">
        <v>1008.2</v>
      </c>
      <c r="AN98" s="154">
        <v>984.53</v>
      </c>
      <c r="AO98" s="155">
        <v>3.562</v>
      </c>
      <c r="AP98" s="155">
        <v>3.619</v>
      </c>
      <c r="AQ98" s="155">
        <v>3.704</v>
      </c>
      <c r="AR98" s="155">
        <v>3.775</v>
      </c>
      <c r="AS98" s="155">
        <v>3.846</v>
      </c>
      <c r="AT98" s="155">
        <v>3.931</v>
      </c>
      <c r="AU98" s="156">
        <v>0.4154</v>
      </c>
      <c r="AV98" s="156">
        <v>0.442</v>
      </c>
      <c r="AW98" s="156">
        <v>0.4731</v>
      </c>
      <c r="AX98" s="156">
        <v>0.4909</v>
      </c>
      <c r="AY98" s="156">
        <v>0.5015</v>
      </c>
      <c r="AZ98" s="156">
        <v>0.5044</v>
      </c>
      <c r="BA98" s="157">
        <v>6.1788</v>
      </c>
      <c r="BB98" s="157">
        <v>2.9482</v>
      </c>
      <c r="BC98" s="157">
        <v>1.3398</v>
      </c>
      <c r="BD98" s="157">
        <v>0.8246</v>
      </c>
      <c r="BE98" s="157">
        <v>0.5599</v>
      </c>
      <c r="BF98" s="157">
        <v>0.3846</v>
      </c>
      <c r="BG98" s="158">
        <v>0</v>
      </c>
      <c r="BH98" s="158">
        <v>0</v>
      </c>
      <c r="BI98" s="158">
        <v>0</v>
      </c>
      <c r="BJ98" s="159" t="s">
        <v>248</v>
      </c>
      <c r="BK98" s="171"/>
    </row>
    <row r="99" spans="1:63" s="61" customFormat="1" ht="12.75" customHeight="1">
      <c r="A99" s="160" t="s">
        <v>249</v>
      </c>
      <c r="B99" s="161" t="s">
        <v>194</v>
      </c>
      <c r="C99" s="161" t="s">
        <v>247</v>
      </c>
      <c r="D99" s="161">
        <v>-20</v>
      </c>
      <c r="E99" s="161">
        <v>120</v>
      </c>
      <c r="F99" s="161"/>
      <c r="G99" s="161" t="s">
        <v>196</v>
      </c>
      <c r="H99" s="161" t="s">
        <v>196</v>
      </c>
      <c r="I99" s="161" t="s">
        <v>196</v>
      </c>
      <c r="J99" s="161">
        <v>-4.412384295122012</v>
      </c>
      <c r="K99" s="161">
        <v>1071.2011275699947</v>
      </c>
      <c r="L99" s="161">
        <v>-98.77456036324512</v>
      </c>
      <c r="M99" s="161">
        <v>-0.549631529558962</v>
      </c>
      <c r="N99" s="161">
        <v>1068.6496027525807</v>
      </c>
      <c r="O99" s="161">
        <v>0.0006278135752267752</v>
      </c>
      <c r="P99" s="161">
        <v>0.3958861432593056</v>
      </c>
      <c r="Q99" s="161">
        <v>0.0033532686893963113</v>
      </c>
      <c r="R99" s="162">
        <v>3.4028755082890214</v>
      </c>
      <c r="S99" s="161"/>
      <c r="T99" s="161"/>
      <c r="U99" s="161"/>
      <c r="V99" s="162"/>
      <c r="W99" s="162"/>
      <c r="X99" s="51"/>
      <c r="Y99" s="51"/>
      <c r="Z99" s="51"/>
      <c r="AA99" s="51"/>
      <c r="AB99" s="51"/>
      <c r="AC99" s="152">
        <v>-20</v>
      </c>
      <c r="AD99" s="153">
        <v>10</v>
      </c>
      <c r="AE99" s="153">
        <v>40</v>
      </c>
      <c r="AF99" s="153">
        <v>65</v>
      </c>
      <c r="AG99" s="153">
        <v>90</v>
      </c>
      <c r="AH99" s="153">
        <v>120</v>
      </c>
      <c r="AI99" s="154">
        <v>1073.23</v>
      </c>
      <c r="AJ99" s="154">
        <v>1064.73</v>
      </c>
      <c r="AK99" s="154">
        <v>1051.85</v>
      </c>
      <c r="AL99" s="154">
        <v>1037.76</v>
      </c>
      <c r="AM99" s="154">
        <v>1020.63</v>
      </c>
      <c r="AN99" s="154">
        <v>996.06</v>
      </c>
      <c r="AO99" s="155">
        <v>3.336</v>
      </c>
      <c r="AP99" s="155">
        <v>3.436</v>
      </c>
      <c r="AQ99" s="155">
        <v>3.537</v>
      </c>
      <c r="AR99" s="155">
        <v>3.621</v>
      </c>
      <c r="AS99" s="155">
        <v>3.705</v>
      </c>
      <c r="AT99" s="155">
        <v>3.805</v>
      </c>
      <c r="AU99" s="156">
        <v>0.3707</v>
      </c>
      <c r="AV99" s="156">
        <v>0.4053</v>
      </c>
      <c r="AW99" s="156">
        <v>0.4312</v>
      </c>
      <c r="AX99" s="156">
        <v>0.4462</v>
      </c>
      <c r="AY99" s="156">
        <v>0.4552</v>
      </c>
      <c r="AZ99" s="156">
        <v>0.4582</v>
      </c>
      <c r="BA99" s="157">
        <v>15.7533</v>
      </c>
      <c r="BB99" s="157">
        <v>4.0451</v>
      </c>
      <c r="BC99" s="157">
        <v>1.7731</v>
      </c>
      <c r="BD99" s="157">
        <v>1.0646</v>
      </c>
      <c r="BE99" s="157">
        <v>0.7013</v>
      </c>
      <c r="BF99" s="157">
        <v>0.4614</v>
      </c>
      <c r="BG99" s="158">
        <v>0</v>
      </c>
      <c r="BH99" s="158">
        <v>0</v>
      </c>
      <c r="BI99" s="158">
        <v>0</v>
      </c>
      <c r="BJ99" s="159" t="s">
        <v>248</v>
      </c>
      <c r="BK99" s="171"/>
    </row>
    <row r="100" spans="1:63" s="61" customFormat="1" ht="12.75" customHeight="1">
      <c r="A100" s="160" t="s">
        <v>250</v>
      </c>
      <c r="B100" s="161" t="s">
        <v>194</v>
      </c>
      <c r="C100" s="161" t="s">
        <v>247</v>
      </c>
      <c r="D100" s="161">
        <v>-30</v>
      </c>
      <c r="E100" s="161">
        <v>120</v>
      </c>
      <c r="F100" s="161"/>
      <c r="G100" s="161" t="s">
        <v>196</v>
      </c>
      <c r="H100" s="161" t="s">
        <v>196</v>
      </c>
      <c r="I100" s="161" t="s">
        <v>196</v>
      </c>
      <c r="J100" s="161">
        <v>-4.250272939971315</v>
      </c>
      <c r="K100" s="161">
        <v>991.8803996520096</v>
      </c>
      <c r="L100" s="161">
        <v>-118.1087447400423</v>
      </c>
      <c r="M100" s="161">
        <v>-0.5439709315128828</v>
      </c>
      <c r="N100" s="161">
        <v>1078.9788614842546</v>
      </c>
      <c r="O100" s="161">
        <v>0.0005784452763708434</v>
      </c>
      <c r="P100" s="161">
        <v>0.35847756000880865</v>
      </c>
      <c r="Q100" s="161">
        <v>0.003864655362255009</v>
      </c>
      <c r="R100" s="162">
        <v>3.2061343316450115</v>
      </c>
      <c r="S100" s="161"/>
      <c r="T100" s="161"/>
      <c r="U100" s="161"/>
      <c r="V100" s="162"/>
      <c r="W100" s="162"/>
      <c r="X100" s="51"/>
      <c r="Y100" s="51"/>
      <c r="Z100" s="51"/>
      <c r="AA100" s="51"/>
      <c r="AB100" s="51"/>
      <c r="AC100" s="152">
        <v>-30</v>
      </c>
      <c r="AD100" s="153">
        <v>-20</v>
      </c>
      <c r="AE100" s="153">
        <v>10</v>
      </c>
      <c r="AF100" s="153">
        <v>65</v>
      </c>
      <c r="AG100" s="153">
        <v>90</v>
      </c>
      <c r="AH100" s="153">
        <v>120</v>
      </c>
      <c r="AI100" s="154">
        <v>1090.31</v>
      </c>
      <c r="AJ100" s="154">
        <v>1088.15</v>
      </c>
      <c r="AK100" s="154">
        <v>1078.72</v>
      </c>
      <c r="AL100" s="154">
        <v>1050.05</v>
      </c>
      <c r="AM100" s="154">
        <v>1032.15</v>
      </c>
      <c r="AN100" s="154">
        <v>1006.66</v>
      </c>
      <c r="AO100" s="155">
        <v>3.09</v>
      </c>
      <c r="AP100" s="155">
        <v>3.129</v>
      </c>
      <c r="AQ100" s="155">
        <v>3.245</v>
      </c>
      <c r="AR100" s="155">
        <v>3.457</v>
      </c>
      <c r="AS100" s="155">
        <v>3.554</v>
      </c>
      <c r="AT100" s="155">
        <v>3.67</v>
      </c>
      <c r="AU100" s="156">
        <v>0.3333</v>
      </c>
      <c r="AV100" s="156">
        <v>0.3442</v>
      </c>
      <c r="AW100" s="156">
        <v>0.3724</v>
      </c>
      <c r="AX100" s="156">
        <v>0.4062</v>
      </c>
      <c r="AY100" s="156">
        <v>0.4139</v>
      </c>
      <c r="AZ100" s="156">
        <v>0.4168</v>
      </c>
      <c r="BA100" s="157">
        <v>43.997</v>
      </c>
      <c r="BB100" s="157">
        <v>22.0816</v>
      </c>
      <c r="BC100" s="157">
        <v>5.5071</v>
      </c>
      <c r="BD100" s="157">
        <v>1.2936</v>
      </c>
      <c r="BE100" s="157">
        <v>0.8227</v>
      </c>
      <c r="BF100" s="157">
        <v>0.5252</v>
      </c>
      <c r="BG100" s="158">
        <v>0</v>
      </c>
      <c r="BH100" s="158">
        <v>0</v>
      </c>
      <c r="BI100" s="158">
        <v>0</v>
      </c>
      <c r="BJ100" s="159" t="s">
        <v>248</v>
      </c>
      <c r="BK100" s="171"/>
    </row>
    <row r="101" spans="1:63" s="61" customFormat="1" ht="12.75" customHeight="1">
      <c r="A101" s="160" t="s">
        <v>251</v>
      </c>
      <c r="B101" s="161" t="s">
        <v>194</v>
      </c>
      <c r="C101" s="161" t="s">
        <v>252</v>
      </c>
      <c r="D101" s="161">
        <v>-10</v>
      </c>
      <c r="E101" s="161">
        <v>288</v>
      </c>
      <c r="F101" s="161"/>
      <c r="G101" s="161">
        <v>20.313226584455485</v>
      </c>
      <c r="H101" s="161">
        <v>24800.78469035595</v>
      </c>
      <c r="I101" s="161">
        <v>1071.483567671626</v>
      </c>
      <c r="J101" s="161">
        <v>-3.371733626416758</v>
      </c>
      <c r="K101" s="161">
        <v>1025.670554048242</v>
      </c>
      <c r="L101" s="161">
        <v>-139.92933074599856</v>
      </c>
      <c r="M101" s="161">
        <v>-0.6891368421052629</v>
      </c>
      <c r="N101" s="161">
        <v>887.0437894736841</v>
      </c>
      <c r="O101" s="161">
        <v>-0.00022072727272727267</v>
      </c>
      <c r="P101" s="161">
        <v>0.13885090909090908</v>
      </c>
      <c r="Q101" s="161">
        <v>0.002981090909090909</v>
      </c>
      <c r="R101" s="162">
        <v>1.9027236363636362</v>
      </c>
      <c r="S101" s="161">
        <v>188</v>
      </c>
      <c r="T101" s="161">
        <v>345</v>
      </c>
      <c r="U101" s="161"/>
      <c r="V101" s="162"/>
      <c r="W101" s="162"/>
      <c r="X101" s="51"/>
      <c r="Y101" s="51"/>
      <c r="Z101" s="51"/>
      <c r="AA101" s="51"/>
      <c r="AB101" s="51"/>
      <c r="AC101" s="152">
        <v>-10</v>
      </c>
      <c r="AD101" s="153">
        <v>40</v>
      </c>
      <c r="AE101" s="153">
        <v>140</v>
      </c>
      <c r="AF101" s="153">
        <v>190</v>
      </c>
      <c r="AG101" s="153">
        <v>290</v>
      </c>
      <c r="AH101" s="153">
        <v>320</v>
      </c>
      <c r="AI101" s="154">
        <v>893.9</v>
      </c>
      <c r="AJ101" s="154">
        <v>859.5</v>
      </c>
      <c r="AK101" s="154">
        <v>790.6</v>
      </c>
      <c r="AL101" s="154">
        <v>756.1</v>
      </c>
      <c r="AM101" s="154">
        <v>687.2</v>
      </c>
      <c r="AN101" s="154">
        <v>666.5</v>
      </c>
      <c r="AO101" s="155">
        <v>1.873</v>
      </c>
      <c r="AP101" s="155">
        <v>2.022</v>
      </c>
      <c r="AQ101" s="155">
        <v>2.32</v>
      </c>
      <c r="AR101" s="155">
        <v>2.469</v>
      </c>
      <c r="AS101" s="155">
        <v>2.767</v>
      </c>
      <c r="AT101" s="155">
        <v>2.857</v>
      </c>
      <c r="AU101" s="156">
        <v>0.141</v>
      </c>
      <c r="AV101" s="156">
        <v>0.13</v>
      </c>
      <c r="AW101" s="156">
        <v>0.108</v>
      </c>
      <c r="AX101" s="156">
        <v>0.097</v>
      </c>
      <c r="AY101" s="156">
        <v>0.075</v>
      </c>
      <c r="AZ101" s="156">
        <v>0.068</v>
      </c>
      <c r="BA101" s="157">
        <v>251.68</v>
      </c>
      <c r="BB101" s="157">
        <v>12.8</v>
      </c>
      <c r="BC101" s="157">
        <v>1.45</v>
      </c>
      <c r="BD101" s="157">
        <v>0.82</v>
      </c>
      <c r="BE101" s="157">
        <v>0.39</v>
      </c>
      <c r="BF101" s="157">
        <v>0.33</v>
      </c>
      <c r="BG101" s="158">
        <v>0.01</v>
      </c>
      <c r="BH101" s="158">
        <v>4.5</v>
      </c>
      <c r="BI101" s="158">
        <v>309</v>
      </c>
      <c r="BJ101" s="159" t="s">
        <v>253</v>
      </c>
      <c r="BK101" s="171"/>
    </row>
    <row r="102" spans="1:63" s="61" customFormat="1" ht="12.75" customHeight="1">
      <c r="A102" s="160" t="s">
        <v>254</v>
      </c>
      <c r="B102" s="161" t="s">
        <v>255</v>
      </c>
      <c r="C102" s="161" t="s">
        <v>256</v>
      </c>
      <c r="D102" s="161">
        <v>0</v>
      </c>
      <c r="E102" s="161">
        <v>230</v>
      </c>
      <c r="F102" s="161"/>
      <c r="G102" s="161">
        <v>-6.65052916346119</v>
      </c>
      <c r="H102" s="161">
        <v>8198.941169298898</v>
      </c>
      <c r="I102" s="161">
        <v>-1156.0070101654967</v>
      </c>
      <c r="J102" s="161">
        <v>-2.7476103160731147</v>
      </c>
      <c r="K102" s="161">
        <v>674.2680071942083</v>
      </c>
      <c r="L102" s="161">
        <v>-150.95071854993068</v>
      </c>
      <c r="M102" s="161">
        <v>-0.6777655643859167</v>
      </c>
      <c r="N102" s="161">
        <v>874.500927551427</v>
      </c>
      <c r="O102" s="161">
        <v>-7.528360837929074E-05</v>
      </c>
      <c r="P102" s="161">
        <v>0.14495519721529074</v>
      </c>
      <c r="Q102" s="161">
        <v>0.0030160582104887925</v>
      </c>
      <c r="R102" s="162">
        <v>2.0208876134957747</v>
      </c>
      <c r="S102" s="161">
        <v>150</v>
      </c>
      <c r="T102" s="161">
        <v>250</v>
      </c>
      <c r="U102" s="161" t="s">
        <v>166</v>
      </c>
      <c r="V102" s="162"/>
      <c r="W102" s="162"/>
      <c r="X102" s="51"/>
      <c r="Y102" s="51"/>
      <c r="Z102" s="51"/>
      <c r="AA102" s="51"/>
      <c r="AB102" s="51"/>
      <c r="AC102" s="152">
        <v>-1</v>
      </c>
      <c r="AD102" s="153">
        <v>49</v>
      </c>
      <c r="AE102" s="153">
        <v>99</v>
      </c>
      <c r="AF102" s="153">
        <v>149</v>
      </c>
      <c r="AG102" s="153">
        <v>199</v>
      </c>
      <c r="AH102" s="153">
        <v>232</v>
      </c>
      <c r="AI102" s="154">
        <v>877.01</v>
      </c>
      <c r="AJ102" s="154">
        <v>842.89</v>
      </c>
      <c r="AK102" s="154">
        <v>800.92</v>
      </c>
      <c r="AL102" s="154">
        <v>774.81</v>
      </c>
      <c r="AM102" s="154">
        <v>740.69</v>
      </c>
      <c r="AN102" s="154">
        <v>717.95</v>
      </c>
      <c r="AO102" s="155">
        <v>2.018</v>
      </c>
      <c r="AP102" s="155">
        <v>2.169</v>
      </c>
      <c r="AQ102" s="155">
        <v>2.319</v>
      </c>
      <c r="AR102" s="155">
        <v>2.47</v>
      </c>
      <c r="AS102" s="155">
        <v>2.621</v>
      </c>
      <c r="AT102" s="155">
        <v>2.721</v>
      </c>
      <c r="AU102" s="156">
        <v>0.145</v>
      </c>
      <c r="AV102" s="156">
        <v>0.142</v>
      </c>
      <c r="AW102" s="156">
        <v>0.137</v>
      </c>
      <c r="AX102" s="156">
        <v>0.133</v>
      </c>
      <c r="AY102" s="156">
        <v>0.13</v>
      </c>
      <c r="AZ102" s="156">
        <v>0.128</v>
      </c>
      <c r="BA102" s="157">
        <v>18.59</v>
      </c>
      <c r="BB102" s="157">
        <v>3.29</v>
      </c>
      <c r="BC102" s="157">
        <v>1.36</v>
      </c>
      <c r="BD102" s="157">
        <v>0.77</v>
      </c>
      <c r="BE102" s="157">
        <v>0.52</v>
      </c>
      <c r="BF102" s="157">
        <v>0.43</v>
      </c>
      <c r="BG102" s="158">
        <v>5.7</v>
      </c>
      <c r="BH102" s="158">
        <v>31</v>
      </c>
      <c r="BI102" s="158">
        <v>167</v>
      </c>
      <c r="BJ102" s="159" t="s">
        <v>257</v>
      </c>
      <c r="BK102" s="171"/>
    </row>
    <row r="103" spans="1:63" s="61" customFormat="1" ht="12.75" customHeight="1">
      <c r="A103" s="160" t="s">
        <v>258</v>
      </c>
      <c r="B103" s="161" t="s">
        <v>255</v>
      </c>
      <c r="C103" s="161" t="s">
        <v>259</v>
      </c>
      <c r="D103" s="161">
        <v>0</v>
      </c>
      <c r="E103" s="161">
        <v>315</v>
      </c>
      <c r="F103" s="161"/>
      <c r="G103" s="161">
        <v>-7.666143641420303</v>
      </c>
      <c r="H103" s="161">
        <v>5665.64899141092</v>
      </c>
      <c r="I103" s="161">
        <v>-900.1096361709517</v>
      </c>
      <c r="J103" s="161">
        <v>-2.906184645162563</v>
      </c>
      <c r="K103" s="161">
        <v>903.5619303096663</v>
      </c>
      <c r="L103" s="161">
        <v>-168.87397065622093</v>
      </c>
      <c r="M103" s="161">
        <v>-0.6743379167451496</v>
      </c>
      <c r="N103" s="161">
        <v>866.3944923714447</v>
      </c>
      <c r="O103" s="161">
        <v>-5.06875117724618E-05</v>
      </c>
      <c r="P103" s="161">
        <v>0.14317385571670746</v>
      </c>
      <c r="Q103" s="161">
        <v>0.0032986249764550752</v>
      </c>
      <c r="R103" s="162">
        <v>1.8383477114334148</v>
      </c>
      <c r="S103" s="161">
        <v>224</v>
      </c>
      <c r="T103" s="161">
        <v>380</v>
      </c>
      <c r="U103" s="161" t="s">
        <v>166</v>
      </c>
      <c r="V103" s="162"/>
      <c r="W103" s="162"/>
      <c r="X103" s="51"/>
      <c r="Y103" s="51"/>
      <c r="Z103" s="51"/>
      <c r="AA103" s="51"/>
      <c r="AB103" s="51"/>
      <c r="AC103" s="152">
        <v>-20</v>
      </c>
      <c r="AD103" s="153">
        <v>10</v>
      </c>
      <c r="AE103" s="153">
        <v>80</v>
      </c>
      <c r="AF103" s="153">
        <v>160</v>
      </c>
      <c r="AG103" s="153">
        <v>240</v>
      </c>
      <c r="AH103" s="153">
        <v>320</v>
      </c>
      <c r="AI103" s="154">
        <v>879.86</v>
      </c>
      <c r="AJ103" s="154">
        <v>859.64</v>
      </c>
      <c r="AK103" s="154">
        <v>812.48</v>
      </c>
      <c r="AL103" s="154">
        <v>758.52</v>
      </c>
      <c r="AM103" s="154">
        <v>704.55</v>
      </c>
      <c r="AN103" s="154">
        <v>650.59</v>
      </c>
      <c r="AO103" s="155">
        <v>1.772</v>
      </c>
      <c r="AP103" s="155">
        <v>1.872</v>
      </c>
      <c r="AQ103" s="155">
        <v>2.103</v>
      </c>
      <c r="AR103" s="155">
        <v>2.363</v>
      </c>
      <c r="AS103" s="155">
        <v>2.633</v>
      </c>
      <c r="AT103" s="155">
        <v>2.893</v>
      </c>
      <c r="AU103" s="156">
        <v>0.144</v>
      </c>
      <c r="AV103" s="156">
        <v>0.143</v>
      </c>
      <c r="AW103" s="156">
        <v>0.139</v>
      </c>
      <c r="AX103" s="156">
        <v>0.135</v>
      </c>
      <c r="AY103" s="156">
        <v>0.131</v>
      </c>
      <c r="AZ103" s="156">
        <v>0.127</v>
      </c>
      <c r="BA103" s="157">
        <v>2691</v>
      </c>
      <c r="BB103" s="157">
        <v>148.51</v>
      </c>
      <c r="BC103" s="157">
        <v>7.05</v>
      </c>
      <c r="BD103" s="157">
        <v>1.67</v>
      </c>
      <c r="BE103" s="157">
        <v>0.76</v>
      </c>
      <c r="BF103" s="157">
        <v>0.46</v>
      </c>
      <c r="BG103" s="158">
        <v>0.05</v>
      </c>
      <c r="BH103" s="158">
        <v>0.975</v>
      </c>
      <c r="BI103" s="158">
        <v>126</v>
      </c>
      <c r="BJ103" s="159" t="s">
        <v>260</v>
      </c>
      <c r="BK103" s="171"/>
    </row>
    <row r="104" spans="1:63" s="61" customFormat="1" ht="12.75" customHeight="1">
      <c r="A104" s="160" t="s">
        <v>261</v>
      </c>
      <c r="B104" s="161" t="s">
        <v>255</v>
      </c>
      <c r="C104" s="161" t="s">
        <v>259</v>
      </c>
      <c r="D104" s="161">
        <v>20</v>
      </c>
      <c r="E104" s="161">
        <v>332</v>
      </c>
      <c r="F104" s="161"/>
      <c r="G104" s="161">
        <v>24.834664736309445</v>
      </c>
      <c r="H104" s="161">
        <v>45060.345056842896</v>
      </c>
      <c r="I104" s="161">
        <v>1649.0921092377835</v>
      </c>
      <c r="J104" s="161">
        <v>-2.9927374297040905</v>
      </c>
      <c r="K104" s="161">
        <v>972.3144213199434</v>
      </c>
      <c r="L104" s="161">
        <v>-160.44131246997327</v>
      </c>
      <c r="M104" s="161">
        <v>-0.6729645955451348</v>
      </c>
      <c r="N104" s="161">
        <v>870.1405298944901</v>
      </c>
      <c r="O104" s="161">
        <v>-5.294255568581475E-05</v>
      </c>
      <c r="P104" s="161">
        <v>0.14384337631887456</v>
      </c>
      <c r="Q104" s="161">
        <v>0.003279413833528722</v>
      </c>
      <c r="R104" s="162">
        <v>1.8447349355216882</v>
      </c>
      <c r="S104" s="161">
        <v>229</v>
      </c>
      <c r="T104" s="161">
        <v>380</v>
      </c>
      <c r="U104" s="161" t="s">
        <v>166</v>
      </c>
      <c r="V104" s="162"/>
      <c r="W104" s="162"/>
      <c r="X104" s="51"/>
      <c r="Y104" s="51"/>
      <c r="Z104" s="51"/>
      <c r="AA104" s="51"/>
      <c r="AB104" s="51"/>
      <c r="AC104" s="152">
        <v>15</v>
      </c>
      <c r="AD104" s="153">
        <v>75</v>
      </c>
      <c r="AE104" s="153">
        <v>145</v>
      </c>
      <c r="AF104" s="153">
        <v>205</v>
      </c>
      <c r="AG104" s="153">
        <v>265</v>
      </c>
      <c r="AH104" s="153">
        <v>335</v>
      </c>
      <c r="AI104" s="154">
        <v>860.04</v>
      </c>
      <c r="AJ104" s="154">
        <v>819.69</v>
      </c>
      <c r="AK104" s="154">
        <v>772.53</v>
      </c>
      <c r="AL104" s="154">
        <v>732.18</v>
      </c>
      <c r="AM104" s="154">
        <v>691.84</v>
      </c>
      <c r="AN104" s="154">
        <v>644.68</v>
      </c>
      <c r="AO104" s="155">
        <v>1.892</v>
      </c>
      <c r="AP104" s="155">
        <v>2.093</v>
      </c>
      <c r="AQ104" s="155">
        <v>2.323</v>
      </c>
      <c r="AR104" s="155">
        <v>2.513</v>
      </c>
      <c r="AS104" s="155">
        <v>2.714</v>
      </c>
      <c r="AT104" s="155">
        <v>2.944</v>
      </c>
      <c r="AU104" s="156">
        <v>0.143</v>
      </c>
      <c r="AV104" s="156">
        <v>0.14</v>
      </c>
      <c r="AW104" s="156">
        <v>0.136</v>
      </c>
      <c r="AX104" s="156">
        <v>0.133</v>
      </c>
      <c r="AY104" s="156">
        <v>0.13</v>
      </c>
      <c r="AZ104" s="156">
        <v>0.126</v>
      </c>
      <c r="BA104" s="157">
        <v>123.54</v>
      </c>
      <c r="BB104" s="157">
        <v>8.91</v>
      </c>
      <c r="BC104" s="157">
        <v>2.17</v>
      </c>
      <c r="BD104" s="157">
        <v>1.07</v>
      </c>
      <c r="BE104" s="157">
        <v>0.66</v>
      </c>
      <c r="BF104" s="157">
        <v>0.44</v>
      </c>
      <c r="BG104" s="158">
        <v>0.05</v>
      </c>
      <c r="BH104" s="158">
        <v>3.4</v>
      </c>
      <c r="BI104" s="158">
        <v>133</v>
      </c>
      <c r="BJ104" s="159" t="s">
        <v>262</v>
      </c>
      <c r="BK104" s="171"/>
    </row>
    <row r="105" spans="1:63" s="61" customFormat="1" ht="12.75" customHeight="1">
      <c r="A105" s="160" t="s">
        <v>263</v>
      </c>
      <c r="B105" s="161" t="s">
        <v>255</v>
      </c>
      <c r="C105" s="161" t="s">
        <v>264</v>
      </c>
      <c r="D105" s="161">
        <v>20</v>
      </c>
      <c r="E105" s="161">
        <v>332</v>
      </c>
      <c r="F105" s="161"/>
      <c r="G105" s="161">
        <v>24.834664736309445</v>
      </c>
      <c r="H105" s="161">
        <v>45060.345056842896</v>
      </c>
      <c r="I105" s="161">
        <v>1649.0921092377835</v>
      </c>
      <c r="J105" s="161">
        <v>-2.9927374297040905</v>
      </c>
      <c r="K105" s="161">
        <v>972.3144213199434</v>
      </c>
      <c r="L105" s="161">
        <v>-160.44131246997327</v>
      </c>
      <c r="M105" s="161">
        <v>-0.6729645955451348</v>
      </c>
      <c r="N105" s="161">
        <v>870.1405298944901</v>
      </c>
      <c r="O105" s="161">
        <v>-5.294255568581475E-05</v>
      </c>
      <c r="P105" s="161">
        <v>0.14384337631887456</v>
      </c>
      <c r="Q105" s="161">
        <v>0.003279413833528722</v>
      </c>
      <c r="R105" s="162">
        <v>1.8447349355216882</v>
      </c>
      <c r="S105" s="161">
        <v>227</v>
      </c>
      <c r="T105" s="161">
        <v>410</v>
      </c>
      <c r="U105" s="161" t="s">
        <v>166</v>
      </c>
      <c r="V105" s="162"/>
      <c r="W105" s="162"/>
      <c r="X105" s="51"/>
      <c r="Y105" s="51"/>
      <c r="Z105" s="51"/>
      <c r="AA105" s="51"/>
      <c r="AB105" s="51"/>
      <c r="AC105" s="152">
        <v>15</v>
      </c>
      <c r="AD105" s="153">
        <v>75</v>
      </c>
      <c r="AE105" s="153">
        <v>145</v>
      </c>
      <c r="AF105" s="153">
        <v>205</v>
      </c>
      <c r="AG105" s="153">
        <v>265</v>
      </c>
      <c r="AH105" s="153">
        <v>335</v>
      </c>
      <c r="AI105" s="154">
        <v>860.04</v>
      </c>
      <c r="AJ105" s="154">
        <v>819.69</v>
      </c>
      <c r="AK105" s="154">
        <v>772.53</v>
      </c>
      <c r="AL105" s="154">
        <v>732.18</v>
      </c>
      <c r="AM105" s="154">
        <v>691.84</v>
      </c>
      <c r="AN105" s="154">
        <v>644.68</v>
      </c>
      <c r="AO105" s="155">
        <v>1.892</v>
      </c>
      <c r="AP105" s="155">
        <v>2.093</v>
      </c>
      <c r="AQ105" s="155">
        <v>2.323</v>
      </c>
      <c r="AR105" s="155">
        <v>2.513</v>
      </c>
      <c r="AS105" s="155">
        <v>2.714</v>
      </c>
      <c r="AT105" s="155">
        <v>2.944</v>
      </c>
      <c r="AU105" s="156">
        <v>0.143</v>
      </c>
      <c r="AV105" s="156">
        <v>0.14</v>
      </c>
      <c r="AW105" s="156">
        <v>0.136</v>
      </c>
      <c r="AX105" s="156">
        <v>0.133</v>
      </c>
      <c r="AY105" s="156">
        <v>0.13</v>
      </c>
      <c r="AZ105" s="156">
        <v>0.126</v>
      </c>
      <c r="BA105" s="157">
        <v>123.54</v>
      </c>
      <c r="BB105" s="157">
        <v>8.91</v>
      </c>
      <c r="BC105" s="157">
        <v>2.17</v>
      </c>
      <c r="BD105" s="157">
        <v>1.07</v>
      </c>
      <c r="BE105" s="157">
        <v>0.66</v>
      </c>
      <c r="BF105" s="157">
        <v>0.44</v>
      </c>
      <c r="BG105" s="158">
        <v>0.05</v>
      </c>
      <c r="BH105" s="158">
        <v>3.4</v>
      </c>
      <c r="BI105" s="158">
        <v>133</v>
      </c>
      <c r="BJ105" s="159" t="s">
        <v>265</v>
      </c>
      <c r="BK105" s="171"/>
    </row>
    <row r="106" spans="1:63" s="61" customFormat="1" ht="12.75" customHeight="1">
      <c r="A106" s="160" t="s">
        <v>266</v>
      </c>
      <c r="B106" s="161" t="s">
        <v>255</v>
      </c>
      <c r="C106" s="161" t="s">
        <v>267</v>
      </c>
      <c r="D106" s="161">
        <v>20</v>
      </c>
      <c r="E106" s="161">
        <v>260</v>
      </c>
      <c r="F106" s="161"/>
      <c r="G106" s="161">
        <v>2.1358745470683034</v>
      </c>
      <c r="H106" s="161">
        <v>189.07756531479401</v>
      </c>
      <c r="I106" s="161">
        <v>17.0139123632687</v>
      </c>
      <c r="J106" s="161">
        <v>-2.1331742310920854</v>
      </c>
      <c r="K106" s="161">
        <v>859.9468839962336</v>
      </c>
      <c r="L106" s="161">
        <v>-168.19630384869086</v>
      </c>
      <c r="M106" s="161">
        <v>-0.5457051223778129</v>
      </c>
      <c r="N106" s="161">
        <v>938.1531509877859</v>
      </c>
      <c r="O106" s="161">
        <v>-0.00014979146137035512</v>
      </c>
      <c r="P106" s="161">
        <v>0.16988250929969564</v>
      </c>
      <c r="Q106" s="161">
        <v>0.0018019155736721344</v>
      </c>
      <c r="R106" s="162">
        <v>1.9063627881269343</v>
      </c>
      <c r="S106" s="161">
        <v>267</v>
      </c>
      <c r="T106" s="161">
        <v>370</v>
      </c>
      <c r="U106" s="161" t="s">
        <v>268</v>
      </c>
      <c r="V106" s="162"/>
      <c r="W106" s="162"/>
      <c r="X106" s="51"/>
      <c r="Y106" s="51"/>
      <c r="Z106" s="51"/>
      <c r="AA106" s="51"/>
      <c r="AB106" s="51"/>
      <c r="AC106" s="152">
        <v>10</v>
      </c>
      <c r="AD106" s="153">
        <v>38</v>
      </c>
      <c r="AE106" s="153">
        <v>93</v>
      </c>
      <c r="AF106" s="153">
        <v>143</v>
      </c>
      <c r="AG106" s="153">
        <v>199</v>
      </c>
      <c r="AH106" s="153">
        <v>260</v>
      </c>
      <c r="AI106" s="154">
        <v>931</v>
      </c>
      <c r="AJ106" s="154">
        <v>915</v>
      </c>
      <c r="AK106" s="154">
        <v>888.01</v>
      </c>
      <c r="AL106" s="154">
        <v>863.72</v>
      </c>
      <c r="AM106" s="154">
        <v>836.73</v>
      </c>
      <c r="AN106" s="154">
        <v>789</v>
      </c>
      <c r="AO106" s="155">
        <v>1.913</v>
      </c>
      <c r="AP106" s="155">
        <v>1.968</v>
      </c>
      <c r="AQ106" s="155">
        <v>2.079</v>
      </c>
      <c r="AR106" s="155">
        <v>2.18</v>
      </c>
      <c r="AS106" s="155">
        <v>2.292</v>
      </c>
      <c r="AT106" s="155">
        <v>2.345</v>
      </c>
      <c r="AU106" s="156">
        <v>0.169</v>
      </c>
      <c r="AV106" s="156">
        <v>0.164</v>
      </c>
      <c r="AW106" s="156">
        <v>0.156</v>
      </c>
      <c r="AX106" s="156">
        <v>0.148</v>
      </c>
      <c r="AY106" s="156">
        <v>0.139</v>
      </c>
      <c r="AZ106" s="156">
        <v>0.132</v>
      </c>
      <c r="BA106" s="157">
        <v>220.78</v>
      </c>
      <c r="BB106" s="157">
        <v>48.54</v>
      </c>
      <c r="BC106" s="157">
        <v>8.91</v>
      </c>
      <c r="BD106" s="157">
        <v>3.8</v>
      </c>
      <c r="BE106" s="157">
        <v>2.05</v>
      </c>
      <c r="BF106" s="157">
        <v>1.25</v>
      </c>
      <c r="BG106" s="158">
        <v>0.05</v>
      </c>
      <c r="BH106" s="158">
        <v>9</v>
      </c>
      <c r="BI106" s="158">
        <v>28.4</v>
      </c>
      <c r="BJ106" s="159" t="s">
        <v>269</v>
      </c>
      <c r="BK106" s="171"/>
    </row>
    <row r="107" spans="1:63" s="61" customFormat="1" ht="12.75" customHeight="1">
      <c r="A107" s="160" t="s">
        <v>270</v>
      </c>
      <c r="B107" s="161" t="s">
        <v>255</v>
      </c>
      <c r="C107" s="161" t="s">
        <v>271</v>
      </c>
      <c r="D107" s="161">
        <v>0</v>
      </c>
      <c r="E107" s="161">
        <v>315</v>
      </c>
      <c r="F107" s="161"/>
      <c r="G107" s="161">
        <v>-7.666143641420303</v>
      </c>
      <c r="H107" s="161">
        <v>5665.64899141092</v>
      </c>
      <c r="I107" s="161">
        <v>-900.1096361709517</v>
      </c>
      <c r="J107" s="161">
        <v>-2.906184645162563</v>
      </c>
      <c r="K107" s="161">
        <v>903.5619303096663</v>
      </c>
      <c r="L107" s="161">
        <v>-168.87397065622093</v>
      </c>
      <c r="M107" s="161">
        <v>-0.6743379167451496</v>
      </c>
      <c r="N107" s="161">
        <v>866.3944923714447</v>
      </c>
      <c r="O107" s="161">
        <v>-5.06875117724618E-05</v>
      </c>
      <c r="P107" s="161">
        <v>0.14317385571670746</v>
      </c>
      <c r="Q107" s="161">
        <v>0.0032986249764550752</v>
      </c>
      <c r="R107" s="162">
        <v>1.8383477114334148</v>
      </c>
      <c r="S107" s="161">
        <v>224</v>
      </c>
      <c r="T107" s="161">
        <v>380</v>
      </c>
      <c r="U107" s="161"/>
      <c r="V107" s="162"/>
      <c r="W107" s="162"/>
      <c r="X107" s="51"/>
      <c r="Y107" s="51"/>
      <c r="Z107" s="51"/>
      <c r="AA107" s="51"/>
      <c r="AB107" s="51"/>
      <c r="AC107" s="152">
        <v>-20</v>
      </c>
      <c r="AD107" s="153">
        <v>10</v>
      </c>
      <c r="AE107" s="153">
        <v>80</v>
      </c>
      <c r="AF107" s="153">
        <v>160</v>
      </c>
      <c r="AG107" s="153">
        <v>240</v>
      </c>
      <c r="AH107" s="153">
        <v>320</v>
      </c>
      <c r="AI107" s="154">
        <v>879.86</v>
      </c>
      <c r="AJ107" s="154">
        <v>859.64</v>
      </c>
      <c r="AK107" s="154">
        <v>812.48</v>
      </c>
      <c r="AL107" s="154">
        <v>758.52</v>
      </c>
      <c r="AM107" s="154">
        <v>704.55</v>
      </c>
      <c r="AN107" s="154">
        <v>650.59</v>
      </c>
      <c r="AO107" s="155">
        <v>1.772</v>
      </c>
      <c r="AP107" s="155">
        <v>1.872</v>
      </c>
      <c r="AQ107" s="155">
        <v>2.103</v>
      </c>
      <c r="AR107" s="155">
        <v>2.363</v>
      </c>
      <c r="AS107" s="155">
        <v>2.633</v>
      </c>
      <c r="AT107" s="155">
        <v>2.893</v>
      </c>
      <c r="AU107" s="156">
        <v>0.144</v>
      </c>
      <c r="AV107" s="156">
        <v>0.143</v>
      </c>
      <c r="AW107" s="156">
        <v>0.139</v>
      </c>
      <c r="AX107" s="156">
        <v>0.135</v>
      </c>
      <c r="AY107" s="156">
        <v>0.131</v>
      </c>
      <c r="AZ107" s="156">
        <v>0.127</v>
      </c>
      <c r="BA107" s="157">
        <v>2691</v>
      </c>
      <c r="BB107" s="157">
        <v>148.51</v>
      </c>
      <c r="BC107" s="157">
        <v>7.05</v>
      </c>
      <c r="BD107" s="157">
        <v>1.67</v>
      </c>
      <c r="BE107" s="157">
        <v>0.76</v>
      </c>
      <c r="BF107" s="157">
        <v>0.46</v>
      </c>
      <c r="BG107" s="158">
        <v>0.05</v>
      </c>
      <c r="BH107" s="158">
        <v>0.975</v>
      </c>
      <c r="BI107" s="158">
        <v>126</v>
      </c>
      <c r="BJ107" s="159" t="s">
        <v>272</v>
      </c>
      <c r="BK107" s="171"/>
    </row>
    <row r="108" spans="1:63" s="61" customFormat="1" ht="12.75" customHeight="1">
      <c r="A108" s="160" t="s">
        <v>273</v>
      </c>
      <c r="B108" s="161" t="s">
        <v>255</v>
      </c>
      <c r="C108" s="161" t="s">
        <v>256</v>
      </c>
      <c r="D108" s="161">
        <v>-35</v>
      </c>
      <c r="E108" s="161">
        <v>315</v>
      </c>
      <c r="F108" s="161"/>
      <c r="G108" s="161">
        <v>14.905625408071339</v>
      </c>
      <c r="H108" s="161">
        <v>16265.929130845676</v>
      </c>
      <c r="I108" s="161">
        <v>1013.6573694962809</v>
      </c>
      <c r="J108" s="161">
        <v>-3.014821310740954</v>
      </c>
      <c r="K108" s="161">
        <v>794.6463677522868</v>
      </c>
      <c r="L108" s="161">
        <v>-152.1292541464893</v>
      </c>
      <c r="M108" s="161">
        <v>-0.6841581227436822</v>
      </c>
      <c r="N108" s="161">
        <v>827.0379205776173</v>
      </c>
      <c r="O108" s="161">
        <v>-8.50180505415162E-05</v>
      </c>
      <c r="P108" s="161">
        <v>0.14263537906137183</v>
      </c>
      <c r="Q108" s="161">
        <v>0.003433898916967508</v>
      </c>
      <c r="R108" s="162">
        <v>2.018658122743683</v>
      </c>
      <c r="S108" s="161">
        <v>165</v>
      </c>
      <c r="T108" s="161">
        <v>325</v>
      </c>
      <c r="U108" s="161" t="s">
        <v>166</v>
      </c>
      <c r="V108" s="162"/>
      <c r="W108" s="162"/>
      <c r="X108" s="51"/>
      <c r="Y108" s="51"/>
      <c r="Z108" s="51"/>
      <c r="AA108" s="51"/>
      <c r="AB108" s="51"/>
      <c r="AC108" s="152">
        <v>-40</v>
      </c>
      <c r="AD108" s="153">
        <v>-10</v>
      </c>
      <c r="AE108" s="153">
        <v>60</v>
      </c>
      <c r="AF108" s="153">
        <v>140</v>
      </c>
      <c r="AG108" s="153">
        <v>220</v>
      </c>
      <c r="AH108" s="153">
        <v>310</v>
      </c>
      <c r="AI108" s="154">
        <v>854.13</v>
      </c>
      <c r="AJ108" s="154">
        <v>833.71</v>
      </c>
      <c r="AK108" s="154">
        <v>786.05</v>
      </c>
      <c r="AL108" s="154">
        <v>731.68</v>
      </c>
      <c r="AM108" s="154">
        <v>677.22</v>
      </c>
      <c r="AN108" s="154">
        <v>614.21</v>
      </c>
      <c r="AO108" s="155">
        <v>1.882</v>
      </c>
      <c r="AP108" s="155">
        <v>1.983</v>
      </c>
      <c r="AQ108" s="155">
        <v>2.223</v>
      </c>
      <c r="AR108" s="155">
        <v>2.503</v>
      </c>
      <c r="AS108" s="155">
        <v>2.774</v>
      </c>
      <c r="AT108" s="155">
        <v>3.082</v>
      </c>
      <c r="AU108" s="156">
        <v>0.146</v>
      </c>
      <c r="AV108" s="156">
        <v>0.143</v>
      </c>
      <c r="AW108" s="156">
        <v>0.138</v>
      </c>
      <c r="AX108" s="156">
        <v>0.131</v>
      </c>
      <c r="AY108" s="156">
        <v>0.124</v>
      </c>
      <c r="AZ108" s="156">
        <v>0.116</v>
      </c>
      <c r="BA108" s="157">
        <v>999.67</v>
      </c>
      <c r="BB108" s="157">
        <v>62.98</v>
      </c>
      <c r="BC108" s="157">
        <v>3.73</v>
      </c>
      <c r="BD108" s="157">
        <v>1.03</v>
      </c>
      <c r="BE108" s="157">
        <v>0.52</v>
      </c>
      <c r="BF108" s="157">
        <v>0.31</v>
      </c>
      <c r="BG108" s="158">
        <v>0.05</v>
      </c>
      <c r="BH108" s="158">
        <v>6.4</v>
      </c>
      <c r="BI108" s="158">
        <v>414</v>
      </c>
      <c r="BJ108" s="159" t="s">
        <v>274</v>
      </c>
      <c r="BK108" s="171"/>
    </row>
    <row r="109" spans="1:63" s="61" customFormat="1" ht="12.75" customHeight="1">
      <c r="A109" s="160" t="s">
        <v>275</v>
      </c>
      <c r="B109" s="161" t="s">
        <v>255</v>
      </c>
      <c r="C109" s="161" t="s">
        <v>276</v>
      </c>
      <c r="D109" s="161">
        <v>-40</v>
      </c>
      <c r="E109" s="161">
        <v>340</v>
      </c>
      <c r="F109" s="161"/>
      <c r="G109" s="161">
        <v>2.6299395013778004</v>
      </c>
      <c r="H109" s="161">
        <v>181.86930027577463</v>
      </c>
      <c r="I109" s="161">
        <v>58.26576227890827</v>
      </c>
      <c r="J109" s="161">
        <v>-3.8293842876394444</v>
      </c>
      <c r="K109" s="161">
        <v>3727.4501851500136</v>
      </c>
      <c r="L109" s="161">
        <v>178.4719477533311</v>
      </c>
      <c r="M109" s="161">
        <v>-0.46997218660617407</v>
      </c>
      <c r="N109" s="161">
        <v>976.7418617220635</v>
      </c>
      <c r="O109" s="161">
        <v>-0.0002010705735727927</v>
      </c>
      <c r="P109" s="161">
        <v>0.13602079638479678</v>
      </c>
      <c r="Q109" s="161">
        <v>0.0017030063929560915</v>
      </c>
      <c r="R109" s="162">
        <v>1.6286774453281212</v>
      </c>
      <c r="S109" s="161">
        <v>323</v>
      </c>
      <c r="T109" s="161">
        <v>500</v>
      </c>
      <c r="U109" s="161" t="s">
        <v>277</v>
      </c>
      <c r="V109" s="162"/>
      <c r="W109" s="162"/>
      <c r="X109" s="51"/>
      <c r="Y109" s="51"/>
      <c r="Z109" s="51"/>
      <c r="AA109" s="51"/>
      <c r="AB109" s="51"/>
      <c r="AC109" s="152">
        <v>-40</v>
      </c>
      <c r="AD109" s="153">
        <v>-12</v>
      </c>
      <c r="AE109" s="153">
        <v>60</v>
      </c>
      <c r="AF109" s="153">
        <v>138</v>
      </c>
      <c r="AG109" s="153">
        <v>221</v>
      </c>
      <c r="AH109" s="153">
        <v>310</v>
      </c>
      <c r="AI109" s="154">
        <v>997.36</v>
      </c>
      <c r="AJ109" s="154">
        <v>982.38</v>
      </c>
      <c r="AK109" s="154">
        <v>947.43</v>
      </c>
      <c r="AL109" s="154">
        <v>909.98</v>
      </c>
      <c r="AM109" s="154">
        <v>872.54</v>
      </c>
      <c r="AN109" s="154">
        <v>832.59</v>
      </c>
      <c r="AO109" s="155">
        <v>1.561</v>
      </c>
      <c r="AP109" s="155">
        <v>1.614</v>
      </c>
      <c r="AQ109" s="155">
        <v>1.724</v>
      </c>
      <c r="AR109" s="155">
        <v>1.862</v>
      </c>
      <c r="AS109" s="155">
        <v>2.005</v>
      </c>
      <c r="AT109" s="155">
        <v>2.159</v>
      </c>
      <c r="AU109" s="156">
        <v>0.144</v>
      </c>
      <c r="AV109" s="156">
        <v>0.138</v>
      </c>
      <c r="AW109" s="156">
        <v>0.125</v>
      </c>
      <c r="AX109" s="156">
        <v>0.108</v>
      </c>
      <c r="AY109" s="156">
        <v>0.091</v>
      </c>
      <c r="AZ109" s="156">
        <v>0.074</v>
      </c>
      <c r="BA109" s="157">
        <v>287.03</v>
      </c>
      <c r="BB109" s="157">
        <v>104.52</v>
      </c>
      <c r="BC109" s="157">
        <v>28.77</v>
      </c>
      <c r="BD109" s="157">
        <v>12.09</v>
      </c>
      <c r="BE109" s="157">
        <v>6.34</v>
      </c>
      <c r="BF109" s="157">
        <v>2.9</v>
      </c>
      <c r="BG109" s="158">
        <v>0.05</v>
      </c>
      <c r="BH109" s="158">
        <v>50.5</v>
      </c>
      <c r="BI109" s="158">
        <v>136.8</v>
      </c>
      <c r="BJ109" s="159" t="s">
        <v>278</v>
      </c>
      <c r="BK109" s="171"/>
    </row>
    <row r="110" spans="1:63" s="61" customFormat="1" ht="12.75" customHeight="1">
      <c r="A110" s="160" t="s">
        <v>279</v>
      </c>
      <c r="B110" s="161" t="s">
        <v>255</v>
      </c>
      <c r="C110" s="161" t="s">
        <v>280</v>
      </c>
      <c r="D110" s="161">
        <v>-84</v>
      </c>
      <c r="E110" s="161">
        <v>65</v>
      </c>
      <c r="F110" s="161"/>
      <c r="G110" s="161">
        <v>-3.011204489786654</v>
      </c>
      <c r="H110" s="161">
        <v>165.76608405967545</v>
      </c>
      <c r="I110" s="161">
        <v>-95.9293394500742</v>
      </c>
      <c r="J110" s="161">
        <v>-1.9215880978340616</v>
      </c>
      <c r="K110" s="161">
        <v>442.314777777826</v>
      </c>
      <c r="L110" s="161">
        <v>-120.78741228028196</v>
      </c>
      <c r="M110" s="161">
        <v>-0.4988581603806803</v>
      </c>
      <c r="N110" s="161">
        <v>847.4328427279404</v>
      </c>
      <c r="O110" s="161">
        <v>-6.533133469482192E-05</v>
      </c>
      <c r="P110" s="161">
        <v>0.1357411394251567</v>
      </c>
      <c r="Q110" s="161">
        <v>0.0021834488586633936</v>
      </c>
      <c r="R110" s="162">
        <v>2.0207655254977315</v>
      </c>
      <c r="S110" s="161">
        <v>98.8</v>
      </c>
      <c r="T110" s="161">
        <v>500</v>
      </c>
      <c r="U110" s="161"/>
      <c r="V110" s="162"/>
      <c r="W110" s="162"/>
      <c r="X110" s="51"/>
      <c r="Y110" s="51"/>
      <c r="Z110" s="51"/>
      <c r="AA110" s="51"/>
      <c r="AB110" s="51"/>
      <c r="AC110" s="152">
        <v>-84</v>
      </c>
      <c r="AD110" s="153">
        <v>-68</v>
      </c>
      <c r="AE110" s="153">
        <v>-29</v>
      </c>
      <c r="AF110" s="153">
        <v>-1</v>
      </c>
      <c r="AG110" s="153">
        <v>32</v>
      </c>
      <c r="AH110" s="153">
        <v>65</v>
      </c>
      <c r="AI110" s="154">
        <v>889</v>
      </c>
      <c r="AJ110" s="154">
        <v>881</v>
      </c>
      <c r="AK110" s="154">
        <v>862</v>
      </c>
      <c r="AL110" s="154">
        <v>849</v>
      </c>
      <c r="AM110" s="154">
        <v>832</v>
      </c>
      <c r="AN110" s="154">
        <v>814</v>
      </c>
      <c r="AO110" s="155">
        <v>1.842</v>
      </c>
      <c r="AP110" s="155">
        <v>1.879</v>
      </c>
      <c r="AQ110" s="155">
        <v>1.95</v>
      </c>
      <c r="AR110" s="155">
        <v>2.01</v>
      </c>
      <c r="AS110" s="155">
        <v>2.081</v>
      </c>
      <c r="AT110" s="155">
        <v>2.177</v>
      </c>
      <c r="AU110" s="156">
        <v>0.141</v>
      </c>
      <c r="AV110" s="156">
        <v>0.14</v>
      </c>
      <c r="AW110" s="156">
        <v>0.138</v>
      </c>
      <c r="AX110" s="156">
        <v>0.136</v>
      </c>
      <c r="AY110" s="156">
        <v>0.134</v>
      </c>
      <c r="AZ110" s="156">
        <v>0.131</v>
      </c>
      <c r="BA110" s="157">
        <v>70.28</v>
      </c>
      <c r="BB110" s="157">
        <v>27.7</v>
      </c>
      <c r="BC110" s="157">
        <v>5.19</v>
      </c>
      <c r="BD110" s="157">
        <v>2.72</v>
      </c>
      <c r="BE110" s="157">
        <v>1.62</v>
      </c>
      <c r="BF110" s="157">
        <v>1.12</v>
      </c>
      <c r="BG110" s="158">
        <v>0.01</v>
      </c>
      <c r="BH110" s="158">
        <v>0.05</v>
      </c>
      <c r="BI110" s="158">
        <v>223</v>
      </c>
      <c r="BJ110" s="159" t="s">
        <v>281</v>
      </c>
      <c r="BK110" s="171"/>
    </row>
    <row r="111" spans="1:63" s="61" customFormat="1" ht="12.75" customHeight="1">
      <c r="A111" s="160" t="s">
        <v>282</v>
      </c>
      <c r="B111" s="161" t="s">
        <v>255</v>
      </c>
      <c r="C111" s="161" t="s">
        <v>280</v>
      </c>
      <c r="D111" s="161">
        <v>-46</v>
      </c>
      <c r="E111" s="161">
        <v>176</v>
      </c>
      <c r="F111" s="161"/>
      <c r="G111" s="161">
        <v>5.577631845499683</v>
      </c>
      <c r="H111" s="161">
        <v>1026.168520249056</v>
      </c>
      <c r="I111" s="161">
        <v>178.18141695935716</v>
      </c>
      <c r="J111" s="161">
        <v>-2.6610077465506827</v>
      </c>
      <c r="K111" s="161">
        <v>567.1764897182499</v>
      </c>
      <c r="L111" s="161">
        <v>-137.00650560264265</v>
      </c>
      <c r="M111" s="161">
        <v>-0.9641429814317686</v>
      </c>
      <c r="N111" s="161">
        <v>848.4501737718494</v>
      </c>
      <c r="O111" s="161">
        <v>-9.789845396558067E-05</v>
      </c>
      <c r="P111" s="161">
        <v>0.13559652828503235</v>
      </c>
      <c r="Q111" s="161">
        <v>0.002661435676500557</v>
      </c>
      <c r="R111" s="162">
        <v>2.0186879271600517</v>
      </c>
      <c r="S111" s="161">
        <v>98.8</v>
      </c>
      <c r="T111" s="161">
        <v>500</v>
      </c>
      <c r="U111" s="161"/>
      <c r="V111" s="162"/>
      <c r="W111" s="162"/>
      <c r="X111" s="51"/>
      <c r="Y111" s="51"/>
      <c r="Z111" s="51"/>
      <c r="AA111" s="51"/>
      <c r="AB111" s="51"/>
      <c r="AC111" s="152">
        <v>-40</v>
      </c>
      <c r="AD111" s="153">
        <v>-29</v>
      </c>
      <c r="AE111" s="153">
        <v>38</v>
      </c>
      <c r="AF111" s="153">
        <v>77</v>
      </c>
      <c r="AG111" s="153">
        <v>121</v>
      </c>
      <c r="AH111" s="153">
        <v>176</v>
      </c>
      <c r="AI111" s="154">
        <v>868</v>
      </c>
      <c r="AJ111" s="154">
        <v>863</v>
      </c>
      <c r="AK111" s="154">
        <v>830</v>
      </c>
      <c r="AL111" s="154">
        <v>808</v>
      </c>
      <c r="AM111" s="154">
        <v>750</v>
      </c>
      <c r="AN111" s="154">
        <v>641</v>
      </c>
      <c r="AO111" s="155">
        <v>1.926</v>
      </c>
      <c r="AP111" s="155">
        <v>1.95</v>
      </c>
      <c r="AQ111" s="155">
        <v>2.093</v>
      </c>
      <c r="AR111" s="155">
        <v>2.211</v>
      </c>
      <c r="AS111" s="155">
        <v>2.345</v>
      </c>
      <c r="AT111" s="155">
        <v>2.5</v>
      </c>
      <c r="AU111" s="156">
        <v>0.138</v>
      </c>
      <c r="AV111" s="156">
        <v>0.138</v>
      </c>
      <c r="AW111" s="156">
        <v>0.133</v>
      </c>
      <c r="AX111" s="156">
        <v>0.13</v>
      </c>
      <c r="AY111" s="156">
        <v>0.125</v>
      </c>
      <c r="AZ111" s="156">
        <v>0.116</v>
      </c>
      <c r="BA111" s="157">
        <v>59.49</v>
      </c>
      <c r="BB111" s="157">
        <v>13.91</v>
      </c>
      <c r="BC111" s="157">
        <v>1.51</v>
      </c>
      <c r="BD111" s="157">
        <v>1</v>
      </c>
      <c r="BE111" s="157">
        <v>0.68</v>
      </c>
      <c r="BF111" s="157">
        <v>0.43</v>
      </c>
      <c r="BG111" s="158">
        <v>0.05</v>
      </c>
      <c r="BH111" s="158">
        <v>36</v>
      </c>
      <c r="BI111" s="158">
        <v>479</v>
      </c>
      <c r="BJ111" s="159" t="s">
        <v>283</v>
      </c>
      <c r="BK111" s="171"/>
    </row>
    <row r="112" spans="1:63" s="61" customFormat="1" ht="12.75" customHeight="1">
      <c r="A112" s="160" t="s">
        <v>284</v>
      </c>
      <c r="B112" s="161" t="s">
        <v>285</v>
      </c>
      <c r="C112" s="161" t="s">
        <v>286</v>
      </c>
      <c r="D112" s="161">
        <v>70</v>
      </c>
      <c r="E112" s="161">
        <v>288</v>
      </c>
      <c r="F112" s="161"/>
      <c r="G112" s="161" t="s">
        <v>196</v>
      </c>
      <c r="H112" s="161" t="s">
        <v>196</v>
      </c>
      <c r="I112" s="161" t="s">
        <v>196</v>
      </c>
      <c r="J112" s="161">
        <v>-1.9727045305164923</v>
      </c>
      <c r="K112" s="161">
        <v>2181.1960891356925</v>
      </c>
      <c r="L112" s="161">
        <v>29.084915504297403</v>
      </c>
      <c r="M112" s="161">
        <v>-1</v>
      </c>
      <c r="N112" s="161">
        <v>983</v>
      </c>
      <c r="O112" s="161">
        <v>-0.00017733162662465543</v>
      </c>
      <c r="P112" s="161">
        <v>0.1574672745175266</v>
      </c>
      <c r="Q112" s="161">
        <v>0.0018853485624261515</v>
      </c>
      <c r="R112" s="162">
        <v>1.2342126033871605</v>
      </c>
      <c r="S112" s="161">
        <v>315</v>
      </c>
      <c r="T112" s="161">
        <v>315</v>
      </c>
      <c r="U112" s="161"/>
      <c r="V112" s="162"/>
      <c r="W112" s="162"/>
      <c r="X112" s="51"/>
      <c r="Y112" s="51"/>
      <c r="Z112" s="51"/>
      <c r="AA112" s="51"/>
      <c r="AB112" s="51"/>
      <c r="AC112" s="152">
        <v>70</v>
      </c>
      <c r="AD112" s="153">
        <v>100</v>
      </c>
      <c r="AE112" s="153">
        <v>130</v>
      </c>
      <c r="AF112" s="153">
        <v>170</v>
      </c>
      <c r="AG112" s="153">
        <v>230</v>
      </c>
      <c r="AH112" s="153">
        <v>288</v>
      </c>
      <c r="AI112" s="154">
        <v>913</v>
      </c>
      <c r="AJ112" s="154">
        <v>883</v>
      </c>
      <c r="AK112" s="154">
        <v>853</v>
      </c>
      <c r="AL112" s="154">
        <v>813</v>
      </c>
      <c r="AM112" s="154">
        <v>753</v>
      </c>
      <c r="AN112" s="154">
        <v>695</v>
      </c>
      <c r="AO112" s="155">
        <v>1.366</v>
      </c>
      <c r="AP112" s="155">
        <v>1.423</v>
      </c>
      <c r="AQ112" s="155">
        <v>1.479</v>
      </c>
      <c r="AR112" s="155">
        <v>1.555</v>
      </c>
      <c r="AS112" s="155">
        <v>1.668</v>
      </c>
      <c r="AT112" s="155">
        <v>1.777</v>
      </c>
      <c r="AU112" s="156">
        <v>0.1451</v>
      </c>
      <c r="AV112" s="156">
        <v>0.1397</v>
      </c>
      <c r="AW112" s="156">
        <v>0.1344</v>
      </c>
      <c r="AX112" s="156">
        <v>0.1273</v>
      </c>
      <c r="AY112" s="156">
        <v>0.1167</v>
      </c>
      <c r="AZ112" s="156">
        <v>0.1064</v>
      </c>
      <c r="BA112" s="157">
        <v>48.6</v>
      </c>
      <c r="BB112" s="157">
        <v>31.5</v>
      </c>
      <c r="BC112" s="157">
        <v>21.6</v>
      </c>
      <c r="BD112" s="157">
        <v>14.1</v>
      </c>
      <c r="BE112" s="157">
        <v>8.4</v>
      </c>
      <c r="BF112" s="157">
        <v>5.6</v>
      </c>
      <c r="BG112" s="158">
        <v>0</v>
      </c>
      <c r="BH112" s="158">
        <v>0</v>
      </c>
      <c r="BI112" s="158">
        <v>0</v>
      </c>
      <c r="BJ112" s="159" t="s">
        <v>287</v>
      </c>
      <c r="BK112" s="171"/>
    </row>
    <row r="113" spans="1:63" s="61" customFormat="1" ht="12.75" customHeight="1">
      <c r="A113" s="160" t="s">
        <v>288</v>
      </c>
      <c r="B113" s="161" t="s">
        <v>285</v>
      </c>
      <c r="C113" s="161" t="s">
        <v>289</v>
      </c>
      <c r="D113" s="161">
        <v>-6.666666666666666</v>
      </c>
      <c r="E113" s="161">
        <v>115.55555555555556</v>
      </c>
      <c r="F113" s="161"/>
      <c r="G113" s="161" t="s">
        <v>196</v>
      </c>
      <c r="H113" s="161" t="s">
        <v>196</v>
      </c>
      <c r="I113" s="161" t="s">
        <v>196</v>
      </c>
      <c r="J113" s="161">
        <v>-2.839064546646739</v>
      </c>
      <c r="K113" s="161">
        <v>403.13903921819144</v>
      </c>
      <c r="L113" s="161">
        <v>-179.04020848202433</v>
      </c>
      <c r="M113" s="161">
        <v>-0.5605715955348851</v>
      </c>
      <c r="N113" s="161">
        <v>1029.826048355349</v>
      </c>
      <c r="O113" s="161">
        <v>0.0007530110269668477</v>
      </c>
      <c r="P113" s="161">
        <v>0.47276726430479965</v>
      </c>
      <c r="Q113" s="161">
        <v>0.005824644670954976</v>
      </c>
      <c r="R113" s="162">
        <v>4.008294404354279</v>
      </c>
      <c r="S113" s="161"/>
      <c r="T113" s="161"/>
      <c r="U113" s="161"/>
      <c r="V113" s="162"/>
      <c r="W113" s="162"/>
      <c r="X113" s="51"/>
      <c r="Y113" s="51"/>
      <c r="Z113" s="51"/>
      <c r="AA113" s="51"/>
      <c r="AB113" s="51"/>
      <c r="AC113" s="152">
        <v>-6.666666666666666</v>
      </c>
      <c r="AD113" s="153">
        <v>10</v>
      </c>
      <c r="AE113" s="153">
        <v>37.77777777777778</v>
      </c>
      <c r="AF113" s="153">
        <v>60</v>
      </c>
      <c r="AG113" s="153">
        <v>82.22222222222221</v>
      </c>
      <c r="AH113" s="153">
        <v>115.55555555555556</v>
      </c>
      <c r="AI113" s="154">
        <v>1028.8656858000002</v>
      </c>
      <c r="AJ113" s="154">
        <v>1023.8999632000001</v>
      </c>
      <c r="AK113" s="154">
        <v>1012.3666720000001</v>
      </c>
      <c r="AL113" s="154">
        <v>1000.5130116</v>
      </c>
      <c r="AM113" s="154">
        <v>986.0963976</v>
      </c>
      <c r="AN113" s="154">
        <v>959.6659386</v>
      </c>
      <c r="AO113" s="155">
        <v>3.9774599999999998</v>
      </c>
      <c r="AP113" s="155">
        <v>4.061196</v>
      </c>
      <c r="AQ113" s="155">
        <v>4.228668</v>
      </c>
      <c r="AR113" s="155">
        <v>4.354272</v>
      </c>
      <c r="AS113" s="155">
        <v>4.479876</v>
      </c>
      <c r="AT113" s="155">
        <v>4.689216</v>
      </c>
      <c r="AU113" s="156">
        <v>0.45345257</v>
      </c>
      <c r="AV113" s="156">
        <v>0.479413595</v>
      </c>
      <c r="AW113" s="156">
        <v>0.510566825</v>
      </c>
      <c r="AX113" s="156">
        <v>0.5347971149999999</v>
      </c>
      <c r="AY113" s="156">
        <v>0.53998932</v>
      </c>
      <c r="AZ113" s="156">
        <v>0.54345079</v>
      </c>
      <c r="BA113" s="157">
        <v>5.07</v>
      </c>
      <c r="BB113" s="157">
        <v>2.81</v>
      </c>
      <c r="BC113" s="157">
        <v>1.28</v>
      </c>
      <c r="BD113" s="157">
        <v>0.8</v>
      </c>
      <c r="BE113" s="157">
        <v>0.57</v>
      </c>
      <c r="BF113" s="157">
        <v>0.4</v>
      </c>
      <c r="BG113" s="158">
        <v>0</v>
      </c>
      <c r="BH113" s="158">
        <v>0</v>
      </c>
      <c r="BI113" s="158">
        <v>0</v>
      </c>
      <c r="BJ113" s="159" t="s">
        <v>290</v>
      </c>
      <c r="BK113" s="171"/>
    </row>
    <row r="114" spans="1:63" s="61" customFormat="1" ht="12.75" customHeight="1">
      <c r="A114" s="160" t="s">
        <v>291</v>
      </c>
      <c r="B114" s="161" t="s">
        <v>285</v>
      </c>
      <c r="C114" s="161" t="s">
        <v>289</v>
      </c>
      <c r="D114" s="161">
        <v>-17.77777777777778</v>
      </c>
      <c r="E114" s="161">
        <v>115.55555555555556</v>
      </c>
      <c r="F114" s="161"/>
      <c r="G114" s="161" t="s">
        <v>196</v>
      </c>
      <c r="H114" s="161" t="s">
        <v>196</v>
      </c>
      <c r="I114" s="161" t="s">
        <v>196</v>
      </c>
      <c r="J114" s="161">
        <v>-1.7621018222482534</v>
      </c>
      <c r="K114" s="161">
        <v>259.45308774311934</v>
      </c>
      <c r="L114" s="161">
        <v>-209.4498645451819</v>
      </c>
      <c r="M114" s="161">
        <v>-0.6419089051513907</v>
      </c>
      <c r="N114" s="161">
        <v>1046.8233688925313</v>
      </c>
      <c r="O114" s="161">
        <v>0.0004931441858296327</v>
      </c>
      <c r="P114" s="161">
        <v>0.3849443911009285</v>
      </c>
      <c r="Q114" s="161">
        <v>0.005871999677028665</v>
      </c>
      <c r="R114" s="162">
        <v>3.6307517174000807</v>
      </c>
      <c r="S114" s="161"/>
      <c r="T114" s="161"/>
      <c r="U114" s="161"/>
      <c r="V114" s="162"/>
      <c r="W114" s="162"/>
      <c r="X114" s="51"/>
      <c r="Y114" s="51"/>
      <c r="Z114" s="51"/>
      <c r="AA114" s="51"/>
      <c r="AB114" s="51"/>
      <c r="AC114" s="152">
        <v>-17.77777777777778</v>
      </c>
      <c r="AD114" s="153">
        <v>-1.1111111111111112</v>
      </c>
      <c r="AE114" s="153">
        <v>26.666666666666664</v>
      </c>
      <c r="AF114" s="153">
        <v>48.888888888888886</v>
      </c>
      <c r="AG114" s="153">
        <v>82.22222222222221</v>
      </c>
      <c r="AH114" s="153">
        <v>115.55555555555556</v>
      </c>
      <c r="AI114" s="154">
        <v>1052.5730065999999</v>
      </c>
      <c r="AJ114" s="154">
        <v>1046.806361</v>
      </c>
      <c r="AK114" s="154">
        <v>1033.991593</v>
      </c>
      <c r="AL114" s="154">
        <v>1021.0166404000001</v>
      </c>
      <c r="AM114" s="154">
        <v>996.6685812000001</v>
      </c>
      <c r="AN114" s="154">
        <v>966.5538764000001</v>
      </c>
      <c r="AO114" s="155">
        <v>3.5169119999999996</v>
      </c>
      <c r="AP114" s="155">
        <v>3.6425159999999996</v>
      </c>
      <c r="AQ114" s="155">
        <v>3.76812</v>
      </c>
      <c r="AR114" s="155">
        <v>3.9355919999999998</v>
      </c>
      <c r="AS114" s="155">
        <v>4.103064</v>
      </c>
      <c r="AT114" s="155">
        <v>4.312404</v>
      </c>
      <c r="AU114" s="156">
        <v>0.36518508499999996</v>
      </c>
      <c r="AV114" s="156">
        <v>0.38422317</v>
      </c>
      <c r="AW114" s="156">
        <v>0.40672272499999995</v>
      </c>
      <c r="AX114" s="156">
        <v>0.41710713499999996</v>
      </c>
      <c r="AY114" s="156">
        <v>0.430953015</v>
      </c>
      <c r="AZ114" s="156">
        <v>0.430953015</v>
      </c>
      <c r="BA114" s="157">
        <v>24.31</v>
      </c>
      <c r="BB114" s="157">
        <v>10.84</v>
      </c>
      <c r="BC114" s="157">
        <v>3.38</v>
      </c>
      <c r="BD114" s="157">
        <v>1.72</v>
      </c>
      <c r="BE114" s="157">
        <v>0.93</v>
      </c>
      <c r="BF114" s="157">
        <v>0.73</v>
      </c>
      <c r="BG114" s="158">
        <v>0</v>
      </c>
      <c r="BH114" s="158">
        <v>0</v>
      </c>
      <c r="BI114" s="158">
        <v>0</v>
      </c>
      <c r="BJ114" s="159" t="s">
        <v>290</v>
      </c>
      <c r="BK114" s="171"/>
    </row>
    <row r="115" spans="1:63" s="61" customFormat="1" ht="12.75" customHeight="1">
      <c r="A115" s="160" t="s">
        <v>292</v>
      </c>
      <c r="B115" s="161" t="s">
        <v>285</v>
      </c>
      <c r="C115" s="161" t="s">
        <v>289</v>
      </c>
      <c r="D115" s="161">
        <v>-28.88888888888889</v>
      </c>
      <c r="E115" s="161">
        <v>115.55555555555556</v>
      </c>
      <c r="F115" s="161"/>
      <c r="G115" s="161" t="s">
        <v>196</v>
      </c>
      <c r="H115" s="161" t="s">
        <v>196</v>
      </c>
      <c r="I115" s="161" t="s">
        <v>196</v>
      </c>
      <c r="J115" s="161">
        <v>-2.1273595518490724</v>
      </c>
      <c r="K115" s="161">
        <v>490.76492238098143</v>
      </c>
      <c r="L115" s="161">
        <v>-175.45122967476328</v>
      </c>
      <c r="M115" s="161">
        <v>-0.7076984490090096</v>
      </c>
      <c r="N115" s="161">
        <v>1058.2804849153156</v>
      </c>
      <c r="O115" s="161">
        <v>0.00023357126396396423</v>
      </c>
      <c r="P115" s="161">
        <v>0.3146070832612612</v>
      </c>
      <c r="Q115" s="161">
        <v>0.005793625945945946</v>
      </c>
      <c r="R115" s="162">
        <v>3.2583110918918914</v>
      </c>
      <c r="S115" s="161"/>
      <c r="T115" s="161"/>
      <c r="U115" s="161"/>
      <c r="V115" s="162"/>
      <c r="W115" s="162"/>
      <c r="X115" s="51"/>
      <c r="Y115" s="51"/>
      <c r="Z115" s="51"/>
      <c r="AA115" s="51"/>
      <c r="AB115" s="51"/>
      <c r="AC115" s="152">
        <v>-28.88888888888889</v>
      </c>
      <c r="AD115" s="153">
        <v>-12.222222222222221</v>
      </c>
      <c r="AE115" s="153">
        <v>15.555555555555555</v>
      </c>
      <c r="AF115" s="153">
        <v>37.77777777777778</v>
      </c>
      <c r="AG115" s="153">
        <v>82.22222222222221</v>
      </c>
      <c r="AH115" s="153">
        <v>115.55555555555556</v>
      </c>
      <c r="AI115" s="154">
        <v>1072.1155278</v>
      </c>
      <c r="AJ115" s="154">
        <v>1065.8683284</v>
      </c>
      <c r="AK115" s="154">
        <v>1052.0924528000003</v>
      </c>
      <c r="AL115" s="154">
        <v>1038.1563926000001</v>
      </c>
      <c r="AM115" s="154">
        <v>1002.9157806000001</v>
      </c>
      <c r="AN115" s="154">
        <v>969.9177530000001</v>
      </c>
      <c r="AO115" s="155">
        <v>3.098232</v>
      </c>
      <c r="AP115" s="155">
        <v>3.181968</v>
      </c>
      <c r="AQ115" s="155">
        <v>3.34944</v>
      </c>
      <c r="AR115" s="155">
        <v>3.4750439999999996</v>
      </c>
      <c r="AS115" s="155">
        <v>3.726252</v>
      </c>
      <c r="AT115" s="155">
        <v>3.9355919999999998</v>
      </c>
      <c r="AU115" s="156">
        <v>0.30114789</v>
      </c>
      <c r="AV115" s="156">
        <v>0.30980156499999995</v>
      </c>
      <c r="AW115" s="156">
        <v>0.323647445</v>
      </c>
      <c r="AX115" s="156">
        <v>0.33057038499999997</v>
      </c>
      <c r="AY115" s="156">
        <v>0.337493325</v>
      </c>
      <c r="AZ115" s="156">
        <v>0.334031855</v>
      </c>
      <c r="BA115" s="157">
        <v>146</v>
      </c>
      <c r="BB115" s="157">
        <v>37.12</v>
      </c>
      <c r="BC115" s="157">
        <v>10.57</v>
      </c>
      <c r="BD115" s="157">
        <v>4.46</v>
      </c>
      <c r="BE115" s="157">
        <v>1.5</v>
      </c>
      <c r="BF115" s="157">
        <v>1.19</v>
      </c>
      <c r="BG115" s="158">
        <v>0</v>
      </c>
      <c r="BH115" s="158">
        <v>0</v>
      </c>
      <c r="BI115" s="158">
        <v>0</v>
      </c>
      <c r="BJ115" s="159" t="s">
        <v>290</v>
      </c>
      <c r="BK115" s="171"/>
    </row>
    <row r="116" spans="1:63" s="61" customFormat="1" ht="12.75" customHeight="1">
      <c r="A116" s="160" t="s">
        <v>293</v>
      </c>
      <c r="B116" s="161" t="s">
        <v>285</v>
      </c>
      <c r="C116" s="161" t="s">
        <v>294</v>
      </c>
      <c r="D116" s="161">
        <v>-6.666666666666666</v>
      </c>
      <c r="E116" s="161">
        <v>121.11111111111111</v>
      </c>
      <c r="F116" s="161"/>
      <c r="G116" s="161" t="s">
        <v>196</v>
      </c>
      <c r="H116" s="161" t="s">
        <v>196</v>
      </c>
      <c r="I116" s="161" t="s">
        <v>196</v>
      </c>
      <c r="J116" s="161">
        <v>-3.519292132218423</v>
      </c>
      <c r="K116" s="161">
        <v>637.3660847905069</v>
      </c>
      <c r="L116" s="161">
        <v>-135.0372510828441</v>
      </c>
      <c r="M116" s="161">
        <v>-0.5245931445232482</v>
      </c>
      <c r="N116" s="161">
        <v>1045.9286328111345</v>
      </c>
      <c r="O116" s="161">
        <v>0.0008909476130812148</v>
      </c>
      <c r="P116" s="161">
        <v>0.47398382972163666</v>
      </c>
      <c r="Q116" s="161">
        <v>0.0023332909212647208</v>
      </c>
      <c r="R116" s="162">
        <v>3.7588919086422816</v>
      </c>
      <c r="S116" s="161"/>
      <c r="T116" s="161"/>
      <c r="U116" s="161"/>
      <c r="V116" s="162"/>
      <c r="W116" s="162"/>
      <c r="X116" s="51"/>
      <c r="Y116" s="51"/>
      <c r="Z116" s="51"/>
      <c r="AA116" s="51"/>
      <c r="AB116" s="51"/>
      <c r="AC116" s="152">
        <v>-6.666666666666666</v>
      </c>
      <c r="AD116" s="153">
        <v>4.444444444444445</v>
      </c>
      <c r="AE116" s="153">
        <v>21.11111111111111</v>
      </c>
      <c r="AF116" s="153">
        <v>37.77777777777778</v>
      </c>
      <c r="AG116" s="153">
        <v>60</v>
      </c>
      <c r="AH116" s="153">
        <v>104.44444444444444</v>
      </c>
      <c r="AI116" s="154">
        <v>1046.9665456</v>
      </c>
      <c r="AJ116" s="154">
        <v>1042.8017459999999</v>
      </c>
      <c r="AK116" s="154">
        <v>1036.0739928000003</v>
      </c>
      <c r="AL116" s="154">
        <v>1028.385132</v>
      </c>
      <c r="AM116" s="154">
        <v>1016.6916562</v>
      </c>
      <c r="AN116" s="154">
        <v>988.6593512000001</v>
      </c>
      <c r="AO116" s="155">
        <v>3.7429992</v>
      </c>
      <c r="AP116" s="155">
        <v>3.76812</v>
      </c>
      <c r="AQ116" s="155">
        <v>3.809988</v>
      </c>
      <c r="AR116" s="155">
        <v>3.8476692</v>
      </c>
      <c r="AS116" s="155">
        <v>3.8979108</v>
      </c>
      <c r="AT116" s="155">
        <v>4.0025808</v>
      </c>
      <c r="AU116" s="156">
        <v>0.45691404</v>
      </c>
      <c r="AV116" s="156">
        <v>0.47422139</v>
      </c>
      <c r="AW116" s="156">
        <v>0.49845167999999995</v>
      </c>
      <c r="AX116" s="156">
        <v>0.517489765</v>
      </c>
      <c r="AY116" s="156">
        <v>0.538258585</v>
      </c>
      <c r="AZ116" s="156">
        <v>0.555565935</v>
      </c>
      <c r="BA116" s="157">
        <v>3.9</v>
      </c>
      <c r="BB116" s="157">
        <v>2.59</v>
      </c>
      <c r="BC116" s="157">
        <v>1.61</v>
      </c>
      <c r="BD116" s="157">
        <v>1.11</v>
      </c>
      <c r="BE116" s="157">
        <v>0.74</v>
      </c>
      <c r="BF116" s="157">
        <v>0.41</v>
      </c>
      <c r="BG116" s="158">
        <v>0</v>
      </c>
      <c r="BH116" s="158">
        <v>0</v>
      </c>
      <c r="BI116" s="158">
        <v>0</v>
      </c>
      <c r="BJ116" s="159" t="s">
        <v>295</v>
      </c>
      <c r="BK116" s="171"/>
    </row>
    <row r="117" spans="1:63" s="61" customFormat="1" ht="12.75" customHeight="1">
      <c r="A117" s="160" t="s">
        <v>296</v>
      </c>
      <c r="B117" s="161" t="s">
        <v>285</v>
      </c>
      <c r="C117" s="161" t="s">
        <v>294</v>
      </c>
      <c r="D117" s="161">
        <v>-17.77777777777778</v>
      </c>
      <c r="E117" s="161">
        <v>121.11111111111111</v>
      </c>
      <c r="F117" s="161"/>
      <c r="G117" s="161" t="s">
        <v>196</v>
      </c>
      <c r="H117" s="161" t="s">
        <v>196</v>
      </c>
      <c r="I117" s="161" t="s">
        <v>196</v>
      </c>
      <c r="J117" s="161">
        <v>-3.9283582054266284</v>
      </c>
      <c r="K117" s="161">
        <v>860.2756578842017</v>
      </c>
      <c r="L117" s="161">
        <v>-122.03457942335405</v>
      </c>
      <c r="M117" s="161">
        <v>-0.5886428460507394</v>
      </c>
      <c r="N117" s="161">
        <v>1080.8532760061735</v>
      </c>
      <c r="O117" s="161">
        <v>0.0006945260261099366</v>
      </c>
      <c r="P117" s="161">
        <v>0.39517253873995767</v>
      </c>
      <c r="Q117" s="161">
        <v>0.003426360279069764</v>
      </c>
      <c r="R117" s="162">
        <v>3.375738946046512</v>
      </c>
      <c r="S117" s="161"/>
      <c r="T117" s="161"/>
      <c r="U117" s="161"/>
      <c r="V117" s="162"/>
      <c r="W117" s="162"/>
      <c r="X117" s="51"/>
      <c r="Y117" s="51"/>
      <c r="Z117" s="51"/>
      <c r="AA117" s="51"/>
      <c r="AB117" s="51"/>
      <c r="AC117" s="152">
        <v>-17.77777777777778</v>
      </c>
      <c r="AD117" s="153">
        <v>-1.1111111111111112</v>
      </c>
      <c r="AE117" s="153">
        <v>21.11111111111111</v>
      </c>
      <c r="AF117" s="153">
        <v>37.77777777777778</v>
      </c>
      <c r="AG117" s="153">
        <v>60</v>
      </c>
      <c r="AH117" s="153">
        <v>104.44444444444444</v>
      </c>
      <c r="AI117" s="154">
        <v>1088.1339878</v>
      </c>
      <c r="AJ117" s="154">
        <v>1081.0858653999999</v>
      </c>
      <c r="AK117" s="154">
        <v>1070.3534972</v>
      </c>
      <c r="AL117" s="154">
        <v>1061.2229750000001</v>
      </c>
      <c r="AM117" s="154">
        <v>1047.7674686</v>
      </c>
      <c r="AN117" s="154">
        <v>1016.2111024000001</v>
      </c>
      <c r="AO117" s="155">
        <v>3.3159456</v>
      </c>
      <c r="AP117" s="155">
        <v>3.370374</v>
      </c>
      <c r="AQ117" s="155">
        <v>3.4499231999999997</v>
      </c>
      <c r="AR117" s="155">
        <v>3.5043515999999997</v>
      </c>
      <c r="AS117" s="155">
        <v>3.5797139999999996</v>
      </c>
      <c r="AT117" s="155">
        <v>3.7346255999999998</v>
      </c>
      <c r="AU117" s="156">
        <v>0.37383876</v>
      </c>
      <c r="AV117" s="156">
        <v>0.392876845</v>
      </c>
      <c r="AW117" s="156">
        <v>0.4153764</v>
      </c>
      <c r="AX117" s="156">
        <v>0.42922227999999996</v>
      </c>
      <c r="AY117" s="156">
        <v>0.44306816</v>
      </c>
      <c r="AZ117" s="156">
        <v>0.458644775</v>
      </c>
      <c r="BA117" s="157">
        <v>13.76</v>
      </c>
      <c r="BB117" s="157">
        <v>6.09</v>
      </c>
      <c r="BC117" s="157">
        <v>2.87</v>
      </c>
      <c r="BD117" s="157">
        <v>1.87</v>
      </c>
      <c r="BE117" s="157">
        <v>1.17</v>
      </c>
      <c r="BF117" s="157">
        <v>0.57</v>
      </c>
      <c r="BG117" s="158">
        <v>0</v>
      </c>
      <c r="BH117" s="158">
        <v>0</v>
      </c>
      <c r="BI117" s="158">
        <v>0</v>
      </c>
      <c r="BJ117" s="159" t="s">
        <v>295</v>
      </c>
      <c r="BK117" s="171"/>
    </row>
    <row r="118" spans="1:63" s="61" customFormat="1" ht="12.75" customHeight="1">
      <c r="A118" s="160" t="s">
        <v>297</v>
      </c>
      <c r="B118" s="161" t="s">
        <v>285</v>
      </c>
      <c r="C118" s="161" t="s">
        <v>294</v>
      </c>
      <c r="D118" s="161">
        <v>-34.44444444444444</v>
      </c>
      <c r="E118" s="161">
        <v>121.11111111111111</v>
      </c>
      <c r="F118" s="161"/>
      <c r="G118" s="161" t="s">
        <v>196</v>
      </c>
      <c r="H118" s="161" t="s">
        <v>196</v>
      </c>
      <c r="I118" s="161" t="s">
        <v>196</v>
      </c>
      <c r="J118" s="161">
        <v>-4.399015782438562</v>
      </c>
      <c r="K118" s="161">
        <v>1040.0874307776357</v>
      </c>
      <c r="L118" s="161">
        <v>-122.0768330282518</v>
      </c>
      <c r="M118" s="161">
        <v>-0.623489001722765</v>
      </c>
      <c r="N118" s="161">
        <v>1109.9763995813823</v>
      </c>
      <c r="O118" s="161">
        <v>0.0005182067934400625</v>
      </c>
      <c r="P118" s="161">
        <v>0.33280797327996875</v>
      </c>
      <c r="Q118" s="161">
        <v>0.004466715617336975</v>
      </c>
      <c r="R118" s="162">
        <v>2.9532500313315118</v>
      </c>
      <c r="S118" s="161"/>
      <c r="T118" s="161"/>
      <c r="U118" s="161"/>
      <c r="V118" s="162"/>
      <c r="W118" s="162"/>
      <c r="X118" s="51"/>
      <c r="Y118" s="51"/>
      <c r="Z118" s="51"/>
      <c r="AA118" s="51"/>
      <c r="AB118" s="51"/>
      <c r="AC118" s="152">
        <v>-34.44444444444444</v>
      </c>
      <c r="AD118" s="153">
        <v>-17.77777777777778</v>
      </c>
      <c r="AE118" s="153">
        <v>10</v>
      </c>
      <c r="AF118" s="153">
        <v>32.22222222222222</v>
      </c>
      <c r="AG118" s="153">
        <v>60</v>
      </c>
      <c r="AH118" s="153">
        <v>104.44444444444444</v>
      </c>
      <c r="AI118" s="154">
        <v>1127.6995840000002</v>
      </c>
      <c r="AJ118" s="154">
        <v>1120.3310924</v>
      </c>
      <c r="AK118" s="154">
        <v>1106.5552168000002</v>
      </c>
      <c r="AL118" s="154">
        <v>1093.2598950000001</v>
      </c>
      <c r="AM118" s="154">
        <v>1074.8386659999999</v>
      </c>
      <c r="AN118" s="154">
        <v>1040.8795308</v>
      </c>
      <c r="AO118" s="155">
        <v>2.8009692</v>
      </c>
      <c r="AP118" s="155">
        <v>2.8721448</v>
      </c>
      <c r="AQ118" s="155">
        <v>2.9977487999999997</v>
      </c>
      <c r="AR118" s="155">
        <v>3.098232</v>
      </c>
      <c r="AS118" s="155">
        <v>3.2196492</v>
      </c>
      <c r="AT118" s="155">
        <v>3.4206155999999996</v>
      </c>
      <c r="AU118" s="156">
        <v>0.30807082999999996</v>
      </c>
      <c r="AV118" s="156">
        <v>0.32191671</v>
      </c>
      <c r="AW118" s="156">
        <v>0.34268553</v>
      </c>
      <c r="AX118" s="156">
        <v>0.35653140999999994</v>
      </c>
      <c r="AY118" s="156">
        <v>0.368646555</v>
      </c>
      <c r="AZ118" s="156">
        <v>0.379030965</v>
      </c>
      <c r="BA118" s="157">
        <v>89.67</v>
      </c>
      <c r="BB118" s="157">
        <v>30.08</v>
      </c>
      <c r="BC118" s="157">
        <v>7.85</v>
      </c>
      <c r="BD118" s="157">
        <v>3.58</v>
      </c>
      <c r="BE118" s="157">
        <v>1.69</v>
      </c>
      <c r="BF118" s="157">
        <v>0.72</v>
      </c>
      <c r="BG118" s="158">
        <v>0</v>
      </c>
      <c r="BH118" s="158">
        <v>0</v>
      </c>
      <c r="BI118" s="158">
        <v>0</v>
      </c>
      <c r="BJ118" s="159" t="s">
        <v>295</v>
      </c>
      <c r="BK118" s="171"/>
    </row>
    <row r="119" spans="1:63" s="61" customFormat="1" ht="12.75" customHeight="1">
      <c r="A119" s="160" t="s">
        <v>298</v>
      </c>
      <c r="B119" s="161" t="s">
        <v>285</v>
      </c>
      <c r="C119" s="161" t="s">
        <v>299</v>
      </c>
      <c r="D119" s="161">
        <v>-10</v>
      </c>
      <c r="E119" s="161">
        <v>60</v>
      </c>
      <c r="F119" s="161"/>
      <c r="G119" s="161" t="s">
        <v>196</v>
      </c>
      <c r="H119" s="161" t="s">
        <v>196</v>
      </c>
      <c r="I119" s="161" t="s">
        <v>196</v>
      </c>
      <c r="J119" s="161">
        <v>-4.275787671766002</v>
      </c>
      <c r="K119" s="161">
        <v>1294.1517286974238</v>
      </c>
      <c r="L119" s="161">
        <v>-23.894956433998285</v>
      </c>
      <c r="M119" s="161">
        <v>-0.6913043478260871</v>
      </c>
      <c r="N119" s="161">
        <v>1363.1739130434783</v>
      </c>
      <c r="O119" s="161">
        <v>0.0010000000000000009</v>
      </c>
      <c r="P119" s="161">
        <v>0.505</v>
      </c>
      <c r="Q119" s="161">
        <v>0.0030000000000000027</v>
      </c>
      <c r="R119" s="162">
        <v>3.28</v>
      </c>
      <c r="S119" s="161"/>
      <c r="T119" s="161"/>
      <c r="U119" s="161"/>
      <c r="V119" s="162"/>
      <c r="W119" s="162"/>
      <c r="X119" s="51"/>
      <c r="Y119" s="51"/>
      <c r="Z119" s="51"/>
      <c r="AA119" s="51"/>
      <c r="AB119" s="51"/>
      <c r="AC119" s="152">
        <v>-10</v>
      </c>
      <c r="AD119" s="153">
        <v>0</v>
      </c>
      <c r="AE119" s="153">
        <v>10</v>
      </c>
      <c r="AF119" s="153">
        <v>20</v>
      </c>
      <c r="AG119" s="153">
        <v>40</v>
      </c>
      <c r="AH119" s="153">
        <v>50</v>
      </c>
      <c r="AI119" s="154">
        <v>1370</v>
      </c>
      <c r="AJ119" s="154">
        <v>1364</v>
      </c>
      <c r="AK119" s="154">
        <v>1358</v>
      </c>
      <c r="AL119" s="154">
        <v>1346</v>
      </c>
      <c r="AM119" s="154">
        <v>1335</v>
      </c>
      <c r="AN119" s="154">
        <v>1330</v>
      </c>
      <c r="AO119" s="155">
        <v>3.25</v>
      </c>
      <c r="AP119" s="155">
        <v>3.28</v>
      </c>
      <c r="AQ119" s="155">
        <v>3.31</v>
      </c>
      <c r="AR119" s="155">
        <v>3.34</v>
      </c>
      <c r="AS119" s="155">
        <v>3.4</v>
      </c>
      <c r="AT119" s="155">
        <v>3.43</v>
      </c>
      <c r="AU119" s="156">
        <v>0.495</v>
      </c>
      <c r="AV119" s="156">
        <v>0.505</v>
      </c>
      <c r="AW119" s="156">
        <v>0.515</v>
      </c>
      <c r="AX119" s="156">
        <v>0.525</v>
      </c>
      <c r="AY119" s="156">
        <v>0.545</v>
      </c>
      <c r="AZ119" s="156">
        <v>0.555</v>
      </c>
      <c r="BA119" s="157">
        <v>3</v>
      </c>
      <c r="BB119" s="157">
        <v>2.5</v>
      </c>
      <c r="BC119" s="157">
        <v>2.05</v>
      </c>
      <c r="BD119" s="157">
        <v>1.7</v>
      </c>
      <c r="BE119" s="157">
        <v>1.2</v>
      </c>
      <c r="BF119" s="157">
        <v>1.05</v>
      </c>
      <c r="BG119" s="158">
        <v>0</v>
      </c>
      <c r="BH119" s="158">
        <v>0</v>
      </c>
      <c r="BI119" s="158">
        <v>0</v>
      </c>
      <c r="BJ119" s="159" t="s">
        <v>300</v>
      </c>
      <c r="BK119" s="171"/>
    </row>
    <row r="120" spans="1:63" s="61" customFormat="1" ht="12.75" customHeight="1">
      <c r="A120" s="160" t="s">
        <v>301</v>
      </c>
      <c r="B120" s="161" t="s">
        <v>285</v>
      </c>
      <c r="C120" s="161" t="s">
        <v>299</v>
      </c>
      <c r="D120" s="161">
        <v>-20</v>
      </c>
      <c r="E120" s="161">
        <v>60</v>
      </c>
      <c r="F120" s="161"/>
      <c r="G120" s="161" t="s">
        <v>196</v>
      </c>
      <c r="H120" s="161" t="s">
        <v>196</v>
      </c>
      <c r="I120" s="161" t="s">
        <v>196</v>
      </c>
      <c r="J120" s="161">
        <v>-5.291058817663534</v>
      </c>
      <c r="K120" s="161">
        <v>2948.838335179451</v>
      </c>
      <c r="L120" s="161">
        <v>163.73604885548647</v>
      </c>
      <c r="M120" s="161">
        <v>-0.498</v>
      </c>
      <c r="N120" s="161">
        <v>1248.8</v>
      </c>
      <c r="O120" s="161">
        <v>0.0009540000000000006</v>
      </c>
      <c r="P120" s="161">
        <v>0.5020999999999999</v>
      </c>
      <c r="Q120" s="161">
        <v>0.0022800000000000008</v>
      </c>
      <c r="R120" s="162">
        <v>3.1770000000000005</v>
      </c>
      <c r="S120" s="161"/>
      <c r="T120" s="161"/>
      <c r="U120" s="161"/>
      <c r="V120" s="162"/>
      <c r="W120" s="162"/>
      <c r="X120" s="51"/>
      <c r="Y120" s="51"/>
      <c r="Z120" s="51"/>
      <c r="AA120" s="51"/>
      <c r="AB120" s="51"/>
      <c r="AC120" s="152">
        <v>-20</v>
      </c>
      <c r="AD120" s="153">
        <v>0</v>
      </c>
      <c r="AE120" s="153">
        <v>10</v>
      </c>
      <c r="AF120" s="153">
        <v>20</v>
      </c>
      <c r="AG120" s="153">
        <v>40</v>
      </c>
      <c r="AH120" s="153">
        <v>50</v>
      </c>
      <c r="AI120" s="154">
        <v>1259</v>
      </c>
      <c r="AJ120" s="154">
        <v>1249</v>
      </c>
      <c r="AK120" s="154">
        <v>1244</v>
      </c>
      <c r="AL120" s="154">
        <v>1238</v>
      </c>
      <c r="AM120" s="154">
        <v>1228</v>
      </c>
      <c r="AN120" s="154">
        <v>1225</v>
      </c>
      <c r="AO120" s="155">
        <v>3.13</v>
      </c>
      <c r="AP120" s="155">
        <v>3.18</v>
      </c>
      <c r="AQ120" s="155">
        <v>3.2</v>
      </c>
      <c r="AR120" s="155">
        <v>3.22</v>
      </c>
      <c r="AS120" s="155">
        <v>3.27</v>
      </c>
      <c r="AT120" s="155">
        <v>3.29</v>
      </c>
      <c r="AU120" s="156">
        <v>0.483</v>
      </c>
      <c r="AV120" s="156">
        <v>0.502</v>
      </c>
      <c r="AW120" s="156">
        <v>0.512</v>
      </c>
      <c r="AX120" s="156">
        <v>0.521</v>
      </c>
      <c r="AY120" s="156">
        <v>0.54</v>
      </c>
      <c r="AZ120" s="156">
        <v>0.55</v>
      </c>
      <c r="BA120" s="157">
        <v>6</v>
      </c>
      <c r="BB120" s="157">
        <v>4.3</v>
      </c>
      <c r="BC120" s="157">
        <v>3.6</v>
      </c>
      <c r="BD120" s="157">
        <v>3.2</v>
      </c>
      <c r="BE120" s="157">
        <v>2.4</v>
      </c>
      <c r="BF120" s="157">
        <v>2.15</v>
      </c>
      <c r="BG120" s="158">
        <v>0</v>
      </c>
      <c r="BH120" s="158">
        <v>0</v>
      </c>
      <c r="BI120" s="158">
        <v>0</v>
      </c>
      <c r="BJ120" s="159" t="s">
        <v>300</v>
      </c>
      <c r="BK120" s="171"/>
    </row>
    <row r="121" spans="1:63" s="61" customFormat="1" ht="12.75" customHeight="1">
      <c r="A121" s="160" t="s">
        <v>302</v>
      </c>
      <c r="B121" s="161" t="s">
        <v>285</v>
      </c>
      <c r="C121" s="161" t="s">
        <v>299</v>
      </c>
      <c r="D121" s="161">
        <v>-30</v>
      </c>
      <c r="E121" s="161">
        <v>60</v>
      </c>
      <c r="F121" s="161"/>
      <c r="G121" s="161" t="s">
        <v>196</v>
      </c>
      <c r="H121" s="161" t="s">
        <v>196</v>
      </c>
      <c r="I121" s="161" t="s">
        <v>196</v>
      </c>
      <c r="J121" s="161">
        <v>-0.5122830976149417</v>
      </c>
      <c r="K121" s="161">
        <v>242.64531630031573</v>
      </c>
      <c r="L121" s="161">
        <v>-157.83713825335752</v>
      </c>
      <c r="M121" s="161">
        <v>-0.5955882352941175</v>
      </c>
      <c r="N121" s="161">
        <v>1282.9411764705883</v>
      </c>
      <c r="O121" s="161">
        <v>0.0011000000000000003</v>
      </c>
      <c r="P121" s="161">
        <v>0.49799999999999994</v>
      </c>
      <c r="Q121" s="161">
        <v>0.002691176470588233</v>
      </c>
      <c r="R121" s="162">
        <v>3.0191176470588235</v>
      </c>
      <c r="S121" s="161"/>
      <c r="T121" s="161"/>
      <c r="U121" s="161"/>
      <c r="V121" s="162"/>
      <c r="W121" s="162"/>
      <c r="X121" s="51"/>
      <c r="Y121" s="51"/>
      <c r="Z121" s="51"/>
      <c r="AA121" s="51"/>
      <c r="AB121" s="51"/>
      <c r="AC121" s="152">
        <v>-30</v>
      </c>
      <c r="AD121" s="153">
        <v>-10</v>
      </c>
      <c r="AE121" s="153">
        <v>10</v>
      </c>
      <c r="AF121" s="153">
        <v>20</v>
      </c>
      <c r="AG121" s="153">
        <v>40</v>
      </c>
      <c r="AH121" s="153">
        <v>50</v>
      </c>
      <c r="AI121" s="154">
        <v>1305</v>
      </c>
      <c r="AJ121" s="154">
        <v>1285</v>
      </c>
      <c r="AK121" s="154">
        <v>1275</v>
      </c>
      <c r="AL121" s="154">
        <v>1270</v>
      </c>
      <c r="AM121" s="154">
        <v>1260</v>
      </c>
      <c r="AN121" s="154">
        <v>1255</v>
      </c>
      <c r="AO121" s="155">
        <v>2.94</v>
      </c>
      <c r="AP121" s="155">
        <v>2.99</v>
      </c>
      <c r="AQ121" s="155">
        <v>3.04</v>
      </c>
      <c r="AR121" s="155">
        <v>3.08</v>
      </c>
      <c r="AS121" s="155">
        <v>3.13</v>
      </c>
      <c r="AT121" s="155">
        <v>3.15</v>
      </c>
      <c r="AU121" s="156">
        <v>0.465</v>
      </c>
      <c r="AV121" s="156">
        <v>0.487</v>
      </c>
      <c r="AW121" s="156">
        <v>0.509</v>
      </c>
      <c r="AX121" s="156">
        <v>0.52</v>
      </c>
      <c r="AY121" s="156">
        <v>0.542</v>
      </c>
      <c r="AZ121" s="156">
        <v>0.553</v>
      </c>
      <c r="BA121" s="157">
        <v>8.3</v>
      </c>
      <c r="BB121" s="157">
        <v>6</v>
      </c>
      <c r="BC121" s="157">
        <v>4.1</v>
      </c>
      <c r="BD121" s="157">
        <v>3.6</v>
      </c>
      <c r="BE121" s="157">
        <v>2.9</v>
      </c>
      <c r="BF121" s="157">
        <v>2.6</v>
      </c>
      <c r="BG121" s="158">
        <v>0</v>
      </c>
      <c r="BH121" s="158">
        <v>0</v>
      </c>
      <c r="BI121" s="158">
        <v>0</v>
      </c>
      <c r="BJ121" s="159" t="s">
        <v>300</v>
      </c>
      <c r="BK121" s="171"/>
    </row>
    <row r="122" spans="1:63" s="61" customFormat="1" ht="12.75" customHeight="1">
      <c r="A122" s="160" t="s">
        <v>303</v>
      </c>
      <c r="B122" s="161" t="s">
        <v>285</v>
      </c>
      <c r="C122" s="161" t="s">
        <v>299</v>
      </c>
      <c r="D122" s="161">
        <v>-40</v>
      </c>
      <c r="E122" s="161">
        <v>60</v>
      </c>
      <c r="F122" s="161"/>
      <c r="G122" s="161" t="s">
        <v>196</v>
      </c>
      <c r="H122" s="161" t="s">
        <v>196</v>
      </c>
      <c r="I122" s="161" t="s">
        <v>196</v>
      </c>
      <c r="J122" s="161">
        <v>-2.986896038069978</v>
      </c>
      <c r="K122" s="161">
        <v>974.8234359826404</v>
      </c>
      <c r="L122" s="161">
        <v>-58.25543815146652</v>
      </c>
      <c r="M122" s="161">
        <v>-0.7</v>
      </c>
      <c r="N122" s="161">
        <v>1330</v>
      </c>
      <c r="O122" s="161">
        <v>0.0009874999999999988</v>
      </c>
      <c r="P122" s="161">
        <v>0.48949999999999994</v>
      </c>
      <c r="Q122" s="161">
        <v>0.002299999999999993</v>
      </c>
      <c r="R122" s="162">
        <v>2.89</v>
      </c>
      <c r="S122" s="161"/>
      <c r="T122" s="161"/>
      <c r="U122" s="161"/>
      <c r="V122" s="162"/>
      <c r="W122" s="162"/>
      <c r="X122" s="51"/>
      <c r="Y122" s="51"/>
      <c r="Z122" s="51"/>
      <c r="AA122" s="51"/>
      <c r="AB122" s="51"/>
      <c r="AC122" s="152">
        <v>-40</v>
      </c>
      <c r="AD122" s="153">
        <v>-20</v>
      </c>
      <c r="AE122" s="153">
        <v>0</v>
      </c>
      <c r="AF122" s="153">
        <v>20</v>
      </c>
      <c r="AG122" s="153">
        <v>40</v>
      </c>
      <c r="AH122" s="153">
        <v>50</v>
      </c>
      <c r="AI122" s="154">
        <v>1358</v>
      </c>
      <c r="AJ122" s="154">
        <v>1344</v>
      </c>
      <c r="AK122" s="154">
        <v>1330</v>
      </c>
      <c r="AL122" s="154">
        <v>1316</v>
      </c>
      <c r="AM122" s="154">
        <v>1302</v>
      </c>
      <c r="AN122" s="154">
        <v>1295</v>
      </c>
      <c r="AO122" s="155">
        <v>2.7980000000000005</v>
      </c>
      <c r="AP122" s="155">
        <v>2.8440000000000003</v>
      </c>
      <c r="AQ122" s="155">
        <v>2.89</v>
      </c>
      <c r="AR122" s="155">
        <v>2.936</v>
      </c>
      <c r="AS122" s="155">
        <v>2.9819999999999998</v>
      </c>
      <c r="AT122" s="155">
        <v>3.005</v>
      </c>
      <c r="AU122" s="156">
        <v>0.45</v>
      </c>
      <c r="AV122" s="156">
        <v>0.46975</v>
      </c>
      <c r="AW122" s="156">
        <v>0.4895</v>
      </c>
      <c r="AX122" s="156">
        <v>0.50925</v>
      </c>
      <c r="AY122" s="156">
        <v>0.5289999999999999</v>
      </c>
      <c r="AZ122" s="156">
        <v>0.5388749999999999</v>
      </c>
      <c r="BA122" s="157">
        <v>13</v>
      </c>
      <c r="BB122" s="157">
        <v>7.5</v>
      </c>
      <c r="BC122" s="157">
        <v>5</v>
      </c>
      <c r="BD122" s="157">
        <v>3.2</v>
      </c>
      <c r="BE122" s="157">
        <v>2.2</v>
      </c>
      <c r="BF122" s="157">
        <v>2</v>
      </c>
      <c r="BG122" s="158">
        <v>0</v>
      </c>
      <c r="BH122" s="158">
        <v>0</v>
      </c>
      <c r="BI122" s="158">
        <v>0</v>
      </c>
      <c r="BJ122" s="159" t="s">
        <v>300</v>
      </c>
      <c r="BK122" s="171"/>
    </row>
    <row r="123" spans="1:63" s="61" customFormat="1" ht="12.75" customHeight="1">
      <c r="A123" s="160" t="s">
        <v>304</v>
      </c>
      <c r="B123" s="161" t="s">
        <v>285</v>
      </c>
      <c r="C123" s="161" t="s">
        <v>299</v>
      </c>
      <c r="D123" s="161">
        <v>-50</v>
      </c>
      <c r="E123" s="161">
        <v>60</v>
      </c>
      <c r="F123" s="161"/>
      <c r="G123" s="161" t="s">
        <v>196</v>
      </c>
      <c r="H123" s="161" t="s">
        <v>196</v>
      </c>
      <c r="I123" s="161" t="s">
        <v>196</v>
      </c>
      <c r="J123" s="161">
        <v>-8.684219542812528</v>
      </c>
      <c r="K123" s="161">
        <v>4625.644361808516</v>
      </c>
      <c r="L123" s="161">
        <v>162.883605750894</v>
      </c>
      <c r="M123" s="161">
        <v>-0.55</v>
      </c>
      <c r="N123" s="161">
        <v>1362.5</v>
      </c>
      <c r="O123" s="161">
        <v>0.0009800000000000004</v>
      </c>
      <c r="P123" s="161">
        <v>0.48433333333333334</v>
      </c>
      <c r="Q123" s="161">
        <v>0.0020000000000000013</v>
      </c>
      <c r="R123" s="162">
        <v>2.67</v>
      </c>
      <c r="S123" s="161"/>
      <c r="T123" s="161"/>
      <c r="U123" s="161"/>
      <c r="V123" s="162"/>
      <c r="W123" s="162"/>
      <c r="X123" s="51"/>
      <c r="Y123" s="51"/>
      <c r="Z123" s="51"/>
      <c r="AA123" s="51"/>
      <c r="AB123" s="51"/>
      <c r="AC123" s="152">
        <v>-50</v>
      </c>
      <c r="AD123" s="153">
        <v>-30</v>
      </c>
      <c r="AE123" s="153">
        <v>-10</v>
      </c>
      <c r="AF123" s="153">
        <v>10</v>
      </c>
      <c r="AG123" s="153">
        <v>30</v>
      </c>
      <c r="AH123" s="153">
        <v>50</v>
      </c>
      <c r="AI123" s="154">
        <v>1390</v>
      </c>
      <c r="AJ123" s="154">
        <v>1379</v>
      </c>
      <c r="AK123" s="154">
        <v>1368</v>
      </c>
      <c r="AL123" s="154">
        <v>1357</v>
      </c>
      <c r="AM123" s="154">
        <v>1346</v>
      </c>
      <c r="AN123" s="154">
        <v>1335</v>
      </c>
      <c r="AO123" s="155">
        <v>2.57</v>
      </c>
      <c r="AP123" s="155">
        <v>2.61</v>
      </c>
      <c r="AQ123" s="155">
        <v>2.65</v>
      </c>
      <c r="AR123" s="155">
        <v>2.69</v>
      </c>
      <c r="AS123" s="155">
        <v>2.73</v>
      </c>
      <c r="AT123" s="155">
        <v>2.77</v>
      </c>
      <c r="AU123" s="156">
        <v>0.435</v>
      </c>
      <c r="AV123" s="156">
        <v>0.455</v>
      </c>
      <c r="AW123" s="156">
        <v>0.475</v>
      </c>
      <c r="AX123" s="156">
        <v>0.494</v>
      </c>
      <c r="AY123" s="156">
        <v>0.514</v>
      </c>
      <c r="AZ123" s="156">
        <v>0.533</v>
      </c>
      <c r="BA123" s="157">
        <v>28</v>
      </c>
      <c r="BB123" s="157">
        <v>15</v>
      </c>
      <c r="BC123" s="157">
        <v>8.7</v>
      </c>
      <c r="BD123" s="157">
        <v>5.4</v>
      </c>
      <c r="BE123" s="157">
        <v>3.6</v>
      </c>
      <c r="BF123" s="157">
        <v>2.3</v>
      </c>
      <c r="BG123" s="158">
        <v>0</v>
      </c>
      <c r="BH123" s="158">
        <v>0</v>
      </c>
      <c r="BI123" s="158">
        <v>0</v>
      </c>
      <c r="BJ123" s="159" t="s">
        <v>300</v>
      </c>
      <c r="BK123" s="171"/>
    </row>
    <row r="124" spans="1:63" s="61" customFormat="1" ht="12.75" customHeight="1">
      <c r="A124" s="160" t="s">
        <v>305</v>
      </c>
      <c r="B124" s="161" t="s">
        <v>285</v>
      </c>
      <c r="C124" s="161" t="s">
        <v>306</v>
      </c>
      <c r="D124" s="161">
        <v>-80</v>
      </c>
      <c r="E124" s="161">
        <v>162.77777777777777</v>
      </c>
      <c r="F124" s="161"/>
      <c r="G124" s="161">
        <v>10.470248350870413</v>
      </c>
      <c r="H124" s="161">
        <v>4350.477961454788</v>
      </c>
      <c r="I124" s="161">
        <v>388.8685901873901</v>
      </c>
      <c r="J124" s="161">
        <v>-11.004326364232051</v>
      </c>
      <c r="K124" s="161">
        <v>7574.145690412756</v>
      </c>
      <c r="L124" s="161">
        <v>365.4554434196278</v>
      </c>
      <c r="M124" s="161">
        <v>-0.7024153171532843</v>
      </c>
      <c r="N124" s="161">
        <v>816.7797164257908</v>
      </c>
      <c r="O124" s="161">
        <v>-0.0001975501354927007</v>
      </c>
      <c r="P124" s="161">
        <v>0.12428761761861314</v>
      </c>
      <c r="Q124" s="161">
        <v>0.004549248525547443</v>
      </c>
      <c r="R124" s="162">
        <v>1.9236329001459855</v>
      </c>
      <c r="S124" s="161">
        <v>61</v>
      </c>
      <c r="T124" s="161">
        <v>175</v>
      </c>
      <c r="U124" s="161"/>
      <c r="V124" s="162"/>
      <c r="W124" s="162"/>
      <c r="X124" s="51"/>
      <c r="Y124" s="51"/>
      <c r="Z124" s="51"/>
      <c r="AA124" s="51"/>
      <c r="AB124" s="51"/>
      <c r="AC124" s="152">
        <v>-62.22222222222222</v>
      </c>
      <c r="AD124" s="153">
        <v>-40</v>
      </c>
      <c r="AE124" s="153">
        <v>15.555555555555555</v>
      </c>
      <c r="AF124" s="153">
        <v>60</v>
      </c>
      <c r="AG124" s="153">
        <v>104.44444444444444</v>
      </c>
      <c r="AH124" s="153">
        <v>148.88888888888889</v>
      </c>
      <c r="AI124" s="154">
        <v>860.1913020000001</v>
      </c>
      <c r="AJ124" s="154">
        <v>845.774688</v>
      </c>
      <c r="AK124" s="154">
        <v>805.728538</v>
      </c>
      <c r="AL124" s="154">
        <v>773.691618</v>
      </c>
      <c r="AM124" s="154">
        <v>743.2565440000001</v>
      </c>
      <c r="AN124" s="154">
        <v>712.8214700000001</v>
      </c>
      <c r="AO124" s="155">
        <v>1.6454124</v>
      </c>
      <c r="AP124" s="155">
        <v>1.7375219999999998</v>
      </c>
      <c r="AQ124" s="155">
        <v>1.9887299999999999</v>
      </c>
      <c r="AR124" s="155">
        <v>2.19807</v>
      </c>
      <c r="AS124" s="155">
        <v>2.4074099999999996</v>
      </c>
      <c r="AT124" s="155">
        <v>2.5958159999999997</v>
      </c>
      <c r="AU124" s="156">
        <v>0.13499733</v>
      </c>
      <c r="AV124" s="156">
        <v>0.13067049249999999</v>
      </c>
      <c r="AW124" s="156">
        <v>0.12288218499999998</v>
      </c>
      <c r="AX124" s="156">
        <v>0.1150938775</v>
      </c>
      <c r="AY124" s="156">
        <v>0.10730556999999999</v>
      </c>
      <c r="AZ124" s="156">
        <v>0.08999821999999999</v>
      </c>
      <c r="BA124" s="157">
        <v>13</v>
      </c>
      <c r="BB124" s="157">
        <v>5.2</v>
      </c>
      <c r="BC124" s="157">
        <v>1.6</v>
      </c>
      <c r="BD124" s="157">
        <v>0.85</v>
      </c>
      <c r="BE124" s="157">
        <v>0.46</v>
      </c>
      <c r="BF124" s="157">
        <v>0.25</v>
      </c>
      <c r="BG124" s="158">
        <v>0.01</v>
      </c>
      <c r="BH124" s="158">
        <v>6</v>
      </c>
      <c r="BI124" s="158">
        <v>240</v>
      </c>
      <c r="BJ124" s="159" t="s">
        <v>307</v>
      </c>
      <c r="BK124" s="171"/>
    </row>
    <row r="125" spans="1:63" s="61" customFormat="1" ht="12.75" customHeight="1">
      <c r="A125" s="160" t="s">
        <v>308</v>
      </c>
      <c r="B125" s="161" t="s">
        <v>285</v>
      </c>
      <c r="C125" s="161" t="s">
        <v>309</v>
      </c>
      <c r="D125" s="161">
        <v>-73</v>
      </c>
      <c r="E125" s="161">
        <v>177</v>
      </c>
      <c r="F125" s="161"/>
      <c r="G125" s="161" t="s">
        <v>196</v>
      </c>
      <c r="H125" s="161" t="s">
        <v>196</v>
      </c>
      <c r="I125" s="161" t="s">
        <v>196</v>
      </c>
      <c r="J125" s="161">
        <v>-3.8018534446805385</v>
      </c>
      <c r="K125" s="161">
        <v>919.1524433294825</v>
      </c>
      <c r="L125" s="161">
        <v>-81.38569827092142</v>
      </c>
      <c r="M125" s="161">
        <v>-0.7598180376445056</v>
      </c>
      <c r="N125" s="161">
        <v>777.6671466132466</v>
      </c>
      <c r="O125" s="161">
        <v>-0.0002</v>
      </c>
      <c r="P125" s="161">
        <v>0.11260000000000002</v>
      </c>
      <c r="Q125" s="161">
        <v>0.0038003004882934768</v>
      </c>
      <c r="R125" s="162">
        <v>2.019123116731355</v>
      </c>
      <c r="S125" s="161">
        <v>61</v>
      </c>
      <c r="T125" s="161">
        <v>191</v>
      </c>
      <c r="U125" s="161"/>
      <c r="V125" s="162"/>
      <c r="W125" s="162"/>
      <c r="X125" s="51"/>
      <c r="Y125" s="51"/>
      <c r="Z125" s="51"/>
      <c r="AA125" s="51"/>
      <c r="AB125" s="51"/>
      <c r="AC125" s="152">
        <v>-73</v>
      </c>
      <c r="AD125" s="153">
        <v>-60</v>
      </c>
      <c r="AE125" s="153">
        <v>0</v>
      </c>
      <c r="AF125" s="153">
        <v>50</v>
      </c>
      <c r="AG125" s="153">
        <v>110</v>
      </c>
      <c r="AH125" s="153">
        <v>177</v>
      </c>
      <c r="AI125" s="154">
        <v>833</v>
      </c>
      <c r="AJ125" s="154">
        <v>823</v>
      </c>
      <c r="AK125" s="154">
        <v>778</v>
      </c>
      <c r="AL125" s="154">
        <v>740</v>
      </c>
      <c r="AM125" s="154">
        <v>694</v>
      </c>
      <c r="AN125" s="154">
        <v>643</v>
      </c>
      <c r="AO125" s="155">
        <v>1.742</v>
      </c>
      <c r="AP125" s="155">
        <v>1.791</v>
      </c>
      <c r="AQ125" s="155">
        <v>2.019</v>
      </c>
      <c r="AR125" s="155">
        <v>2.209</v>
      </c>
      <c r="AS125" s="155">
        <v>2.437</v>
      </c>
      <c r="AT125" s="155">
        <v>2.692</v>
      </c>
      <c r="AU125" s="156">
        <v>0.1272</v>
      </c>
      <c r="AV125" s="156">
        <v>0.1246</v>
      </c>
      <c r="AW125" s="156">
        <v>0.1126</v>
      </c>
      <c r="AX125" s="156">
        <v>0.1026</v>
      </c>
      <c r="AY125" s="156">
        <v>0.0906</v>
      </c>
      <c r="AZ125" s="156">
        <v>0.0772</v>
      </c>
      <c r="BA125" s="157">
        <v>70.2</v>
      </c>
      <c r="BB125" s="157">
        <v>23.9</v>
      </c>
      <c r="BC125" s="157">
        <v>2.5</v>
      </c>
      <c r="BD125" s="157">
        <v>1</v>
      </c>
      <c r="BE125" s="157">
        <v>0.49</v>
      </c>
      <c r="BF125" s="157">
        <v>0.27</v>
      </c>
      <c r="BG125" s="158">
        <v>0</v>
      </c>
      <c r="BH125" s="158">
        <v>0</v>
      </c>
      <c r="BI125" s="158">
        <v>0</v>
      </c>
      <c r="BJ125" s="159" t="s">
        <v>310</v>
      </c>
      <c r="BK125" s="171"/>
    </row>
    <row r="126" spans="1:63" s="61" customFormat="1" ht="12.75" customHeight="1">
      <c r="A126" s="160" t="s">
        <v>311</v>
      </c>
      <c r="B126" s="161" t="s">
        <v>285</v>
      </c>
      <c r="C126" s="161" t="s">
        <v>312</v>
      </c>
      <c r="D126" s="161">
        <v>20</v>
      </c>
      <c r="E126" s="161">
        <v>177</v>
      </c>
      <c r="F126" s="161"/>
      <c r="G126" s="161" t="s">
        <v>196</v>
      </c>
      <c r="H126" s="161" t="s">
        <v>196</v>
      </c>
      <c r="I126" s="161" t="s">
        <v>196</v>
      </c>
      <c r="J126" s="161">
        <v>-3.3618391303210116</v>
      </c>
      <c r="K126" s="161">
        <v>1050.8375935709578</v>
      </c>
      <c r="L126" s="161">
        <v>-143.20004987246818</v>
      </c>
      <c r="M126" s="161">
        <v>-0.7159235668789808</v>
      </c>
      <c r="N126" s="161">
        <v>1058.5095541401274</v>
      </c>
      <c r="O126" s="161">
        <v>-0.00013186624203821652</v>
      </c>
      <c r="P126" s="161">
        <v>0.13327171974522292</v>
      </c>
      <c r="Q126" s="161">
        <v>0.003725668789808916</v>
      </c>
      <c r="R126" s="162">
        <v>1.4746585987261147</v>
      </c>
      <c r="S126" s="161">
        <v>200</v>
      </c>
      <c r="T126" s="161">
        <v>385</v>
      </c>
      <c r="U126" s="161"/>
      <c r="V126" s="162"/>
      <c r="W126" s="162"/>
      <c r="X126" s="51"/>
      <c r="Y126" s="51"/>
      <c r="Z126" s="51"/>
      <c r="AA126" s="51"/>
      <c r="AB126" s="51"/>
      <c r="AC126" s="152">
        <v>20</v>
      </c>
      <c r="AD126" s="153">
        <v>40</v>
      </c>
      <c r="AE126" s="153">
        <v>100</v>
      </c>
      <c r="AF126" s="153">
        <v>160</v>
      </c>
      <c r="AG126" s="153">
        <v>220</v>
      </c>
      <c r="AH126" s="153">
        <v>280</v>
      </c>
      <c r="AI126" s="154">
        <v>1044</v>
      </c>
      <c r="AJ126" s="154">
        <v>1030</v>
      </c>
      <c r="AK126" s="154">
        <v>987</v>
      </c>
      <c r="AL126" s="154">
        <v>944</v>
      </c>
      <c r="AM126" s="154">
        <v>901</v>
      </c>
      <c r="AN126" s="154">
        <v>858</v>
      </c>
      <c r="AO126" s="155">
        <v>1.549</v>
      </c>
      <c r="AP126" s="155">
        <v>1.624</v>
      </c>
      <c r="AQ126" s="155">
        <v>1.847</v>
      </c>
      <c r="AR126" s="155">
        <v>2.071</v>
      </c>
      <c r="AS126" s="155">
        <v>2.294</v>
      </c>
      <c r="AT126" s="155">
        <v>2.518</v>
      </c>
      <c r="AU126" s="156">
        <v>0.1306</v>
      </c>
      <c r="AV126" s="156">
        <v>0.128</v>
      </c>
      <c r="AW126" s="156">
        <v>0.1201</v>
      </c>
      <c r="AX126" s="156">
        <v>0.1122</v>
      </c>
      <c r="AY126" s="156">
        <v>0.1043</v>
      </c>
      <c r="AZ126" s="156">
        <v>0.0963</v>
      </c>
      <c r="BA126" s="157">
        <v>49</v>
      </c>
      <c r="BB126" s="157">
        <v>16.8</v>
      </c>
      <c r="BC126" s="157">
        <v>3.3</v>
      </c>
      <c r="BD126" s="157">
        <v>1.3</v>
      </c>
      <c r="BE126" s="157">
        <v>0.72</v>
      </c>
      <c r="BF126" s="157">
        <v>0.45</v>
      </c>
      <c r="BG126" s="158">
        <v>0</v>
      </c>
      <c r="BH126" s="158">
        <v>0</v>
      </c>
      <c r="BI126" s="158">
        <v>0</v>
      </c>
      <c r="BJ126" s="159" t="s">
        <v>313</v>
      </c>
      <c r="BK126" s="171"/>
    </row>
    <row r="127" spans="1:63" s="61" customFormat="1" ht="12.75" customHeight="1">
      <c r="A127" s="160" t="s">
        <v>314</v>
      </c>
      <c r="B127" s="161" t="s">
        <v>285</v>
      </c>
      <c r="C127" s="161" t="s">
        <v>315</v>
      </c>
      <c r="D127" s="161">
        <v>-40</v>
      </c>
      <c r="E127" s="161">
        <v>205</v>
      </c>
      <c r="F127" s="161"/>
      <c r="G127" s="161" t="s">
        <v>196</v>
      </c>
      <c r="H127" s="161" t="s">
        <v>196</v>
      </c>
      <c r="I127" s="161" t="s">
        <v>196</v>
      </c>
      <c r="J127" s="161">
        <v>-4.009092406607691</v>
      </c>
      <c r="K127" s="161">
        <v>975.0043207568503</v>
      </c>
      <c r="L127" s="161">
        <v>-100.53057150395105</v>
      </c>
      <c r="M127" s="161">
        <v>-0.5016751503933363</v>
      </c>
      <c r="N127" s="161">
        <v>784.0074039796391</v>
      </c>
      <c r="O127" s="161">
        <v>-0.00019999999999999996</v>
      </c>
      <c r="P127" s="161">
        <v>0.1165</v>
      </c>
      <c r="Q127" s="161">
        <v>0.0038</v>
      </c>
      <c r="R127" s="162">
        <v>1.804</v>
      </c>
      <c r="S127" s="161">
        <v>77</v>
      </c>
      <c r="T127" s="161">
        <v>223</v>
      </c>
      <c r="U127" s="161"/>
      <c r="V127" s="162"/>
      <c r="W127" s="162"/>
      <c r="X127" s="51"/>
      <c r="Y127" s="51"/>
      <c r="Z127" s="51"/>
      <c r="AA127" s="51"/>
      <c r="AB127" s="51"/>
      <c r="AC127" s="152">
        <v>-40</v>
      </c>
      <c r="AD127" s="153">
        <v>-30</v>
      </c>
      <c r="AE127" s="153">
        <v>10</v>
      </c>
      <c r="AF127" s="153">
        <v>60</v>
      </c>
      <c r="AG127" s="153">
        <v>120</v>
      </c>
      <c r="AH127" s="153">
        <v>205</v>
      </c>
      <c r="AI127" s="154">
        <v>804</v>
      </c>
      <c r="AJ127" s="154">
        <v>799</v>
      </c>
      <c r="AK127" s="154">
        <v>779</v>
      </c>
      <c r="AL127" s="154">
        <v>754</v>
      </c>
      <c r="AM127" s="154">
        <v>724</v>
      </c>
      <c r="AN127" s="154">
        <v>681</v>
      </c>
      <c r="AO127" s="155">
        <v>1.652</v>
      </c>
      <c r="AP127" s="155">
        <v>1.69</v>
      </c>
      <c r="AQ127" s="155">
        <v>1.842</v>
      </c>
      <c r="AR127" s="155">
        <v>2.032</v>
      </c>
      <c r="AS127" s="155">
        <v>2.26</v>
      </c>
      <c r="AT127" s="155">
        <v>2.583</v>
      </c>
      <c r="AU127" s="156">
        <v>0.1245</v>
      </c>
      <c r="AV127" s="156">
        <v>0.1225</v>
      </c>
      <c r="AW127" s="156">
        <v>0.1145</v>
      </c>
      <c r="AX127" s="156">
        <v>0.1045</v>
      </c>
      <c r="AY127" s="156">
        <v>0.0925</v>
      </c>
      <c r="AZ127" s="156">
        <v>0.0755</v>
      </c>
      <c r="BA127" s="157">
        <v>33.2</v>
      </c>
      <c r="BB127" s="157">
        <v>16.9</v>
      </c>
      <c r="BC127" s="157">
        <v>3.4</v>
      </c>
      <c r="BD127" s="157">
        <v>1.2</v>
      </c>
      <c r="BE127" s="157">
        <v>0.53</v>
      </c>
      <c r="BF127" s="157">
        <v>0.24</v>
      </c>
      <c r="BG127" s="158">
        <v>0</v>
      </c>
      <c r="BH127" s="158">
        <v>0</v>
      </c>
      <c r="BI127" s="158">
        <v>0</v>
      </c>
      <c r="BJ127" s="159" t="s">
        <v>316</v>
      </c>
      <c r="BK127" s="171"/>
    </row>
    <row r="128" spans="1:63" s="61" customFormat="1" ht="12.75" customHeight="1">
      <c r="A128" s="160" t="s">
        <v>317</v>
      </c>
      <c r="B128" s="161" t="s">
        <v>285</v>
      </c>
      <c r="C128" s="161" t="s">
        <v>315</v>
      </c>
      <c r="D128" s="161">
        <v>0</v>
      </c>
      <c r="E128" s="161">
        <v>205</v>
      </c>
      <c r="F128" s="161"/>
      <c r="G128" s="161" t="s">
        <v>196</v>
      </c>
      <c r="H128" s="161" t="s">
        <v>196</v>
      </c>
      <c r="I128" s="161" t="s">
        <v>196</v>
      </c>
      <c r="J128" s="161">
        <v>-3.1805286803695143</v>
      </c>
      <c r="K128" s="161">
        <v>851.7140453413124</v>
      </c>
      <c r="L128" s="161">
        <v>-146.01260737724567</v>
      </c>
      <c r="M128" s="161">
        <v>-0.6981535718833566</v>
      </c>
      <c r="N128" s="161">
        <v>814.9279256335158</v>
      </c>
      <c r="O128" s="161">
        <v>-0.00019999999999999996</v>
      </c>
      <c r="P128" s="161">
        <v>0.151</v>
      </c>
      <c r="Q128" s="161">
        <v>0.0038</v>
      </c>
      <c r="R128" s="162">
        <v>1.9339999999999997</v>
      </c>
      <c r="S128" s="161">
        <v>110</v>
      </c>
      <c r="T128" s="161">
        <v>273</v>
      </c>
      <c r="U128" s="161"/>
      <c r="V128" s="162"/>
      <c r="W128" s="162"/>
      <c r="X128" s="51"/>
      <c r="Y128" s="51"/>
      <c r="Z128" s="51"/>
      <c r="AA128" s="51"/>
      <c r="AB128" s="51"/>
      <c r="AC128" s="152">
        <v>0</v>
      </c>
      <c r="AD128" s="153">
        <v>10</v>
      </c>
      <c r="AE128" s="153">
        <v>50</v>
      </c>
      <c r="AF128" s="153">
        <v>90</v>
      </c>
      <c r="AG128" s="153">
        <v>150</v>
      </c>
      <c r="AH128" s="153">
        <v>205</v>
      </c>
      <c r="AI128" s="154">
        <v>815</v>
      </c>
      <c r="AJ128" s="154">
        <v>808</v>
      </c>
      <c r="AK128" s="154">
        <v>780</v>
      </c>
      <c r="AL128" s="154">
        <v>752</v>
      </c>
      <c r="AM128" s="154">
        <v>710</v>
      </c>
      <c r="AN128" s="154">
        <v>672</v>
      </c>
      <c r="AO128" s="155">
        <v>1.934</v>
      </c>
      <c r="AP128" s="155">
        <v>1.972</v>
      </c>
      <c r="AQ128" s="155">
        <v>2.124</v>
      </c>
      <c r="AR128" s="155">
        <v>2.276</v>
      </c>
      <c r="AS128" s="155">
        <v>2.504</v>
      </c>
      <c r="AT128" s="155">
        <v>2.713</v>
      </c>
      <c r="AU128" s="156">
        <v>0.151</v>
      </c>
      <c r="AV128" s="156">
        <v>0.149</v>
      </c>
      <c r="AW128" s="156">
        <v>0.141</v>
      </c>
      <c r="AX128" s="156">
        <v>0.133</v>
      </c>
      <c r="AY128" s="156">
        <v>0.121</v>
      </c>
      <c r="AZ128" s="156">
        <v>0.11</v>
      </c>
      <c r="BA128" s="157">
        <v>34.1</v>
      </c>
      <c r="BB128" s="157">
        <v>20.7</v>
      </c>
      <c r="BC128" s="157">
        <v>5</v>
      </c>
      <c r="BD128" s="157">
        <v>2.1</v>
      </c>
      <c r="BE128" s="157">
        <v>0.92</v>
      </c>
      <c r="BF128" s="157">
        <v>0.54</v>
      </c>
      <c r="BG128" s="158">
        <v>0</v>
      </c>
      <c r="BH128" s="158">
        <v>0</v>
      </c>
      <c r="BI128" s="158">
        <v>0</v>
      </c>
      <c r="BJ128" s="159" t="s">
        <v>318</v>
      </c>
      <c r="BK128" s="171"/>
    </row>
    <row r="129" spans="1:63" s="61" customFormat="1" ht="12.75" customHeight="1">
      <c r="A129" s="160" t="s">
        <v>319</v>
      </c>
      <c r="B129" s="161" t="s">
        <v>285</v>
      </c>
      <c r="C129" s="161" t="s">
        <v>320</v>
      </c>
      <c r="D129" s="161">
        <v>-112.22222222222221</v>
      </c>
      <c r="E129" s="161">
        <v>162.77777777777777</v>
      </c>
      <c r="F129" s="161"/>
      <c r="G129" s="161">
        <v>-27.870512855422785</v>
      </c>
      <c r="H129" s="161">
        <v>38860.64872524387</v>
      </c>
      <c r="I129" s="161">
        <v>-1417.6768680481368</v>
      </c>
      <c r="J129" s="161">
        <v>-4.495258005969611</v>
      </c>
      <c r="K129" s="161">
        <v>1230.87546996893</v>
      </c>
      <c r="L129" s="161">
        <v>-17.829142304138283</v>
      </c>
      <c r="M129" s="161">
        <v>-0.7726214771848735</v>
      </c>
      <c r="N129" s="161">
        <v>860.8387708453781</v>
      </c>
      <c r="O129" s="161">
        <v>-0.0002377397226365546</v>
      </c>
      <c r="P129" s="161">
        <v>0.13761015809033614</v>
      </c>
      <c r="Q129" s="161">
        <v>0.0035417161512605036</v>
      </c>
      <c r="R129" s="162">
        <v>1.7235929737815125</v>
      </c>
      <c r="S129" s="161">
        <v>53</v>
      </c>
      <c r="T129" s="161">
        <v>176</v>
      </c>
      <c r="U129" s="161"/>
      <c r="V129" s="162"/>
      <c r="W129" s="162"/>
      <c r="X129" s="51"/>
      <c r="Y129" s="51"/>
      <c r="Z129" s="51"/>
      <c r="AA129" s="51"/>
      <c r="AB129" s="51"/>
      <c r="AC129" s="152">
        <v>-106.66666666666666</v>
      </c>
      <c r="AD129" s="153">
        <v>-84.44444444444444</v>
      </c>
      <c r="AE129" s="153">
        <v>-28.88888888888889</v>
      </c>
      <c r="AF129" s="153">
        <v>15.555555555555555</v>
      </c>
      <c r="AG129" s="153">
        <v>60</v>
      </c>
      <c r="AH129" s="153">
        <v>126.66666666666666</v>
      </c>
      <c r="AI129" s="154">
        <v>943.487294</v>
      </c>
      <c r="AJ129" s="154">
        <v>925.866988</v>
      </c>
      <c r="AK129" s="154">
        <v>882.617146</v>
      </c>
      <c r="AL129" s="154">
        <v>848.97838</v>
      </c>
      <c r="AM129" s="154">
        <v>815.339614</v>
      </c>
      <c r="AN129" s="154">
        <v>762.4786960000001</v>
      </c>
      <c r="AO129" s="155">
        <v>1.3481496</v>
      </c>
      <c r="AP129" s="155">
        <v>1.4276988000000002</v>
      </c>
      <c r="AQ129" s="155">
        <v>1.611918</v>
      </c>
      <c r="AR129" s="155">
        <v>1.7793899999999998</v>
      </c>
      <c r="AS129" s="155">
        <v>1.9384884</v>
      </c>
      <c r="AT129" s="155">
        <v>2.1729492</v>
      </c>
      <c r="AU129" s="156">
        <v>0.16268908999999998</v>
      </c>
      <c r="AV129" s="156">
        <v>0.1583622525</v>
      </c>
      <c r="AW129" s="156">
        <v>0.143651005</v>
      </c>
      <c r="AX129" s="156">
        <v>0.13413196249999998</v>
      </c>
      <c r="AY129" s="156">
        <v>0.12374755249999998</v>
      </c>
      <c r="AZ129" s="156">
        <v>0.10730556999999999</v>
      </c>
      <c r="BA129" s="157">
        <v>88</v>
      </c>
      <c r="BB129" s="157">
        <v>15</v>
      </c>
      <c r="BC129" s="157">
        <v>2</v>
      </c>
      <c r="BD129" s="157">
        <v>1.05</v>
      </c>
      <c r="BE129" s="157">
        <v>0.66</v>
      </c>
      <c r="BF129" s="157">
        <v>0.28</v>
      </c>
      <c r="BG129" s="158">
        <v>0.01</v>
      </c>
      <c r="BH129" s="158">
        <v>0.7</v>
      </c>
      <c r="BI129" s="158">
        <v>170</v>
      </c>
      <c r="BJ129" s="159" t="s">
        <v>307</v>
      </c>
      <c r="BK129" s="171"/>
    </row>
    <row r="130" spans="1:63" s="61" customFormat="1" ht="12.75" customHeight="1">
      <c r="A130" s="160" t="s">
        <v>321</v>
      </c>
      <c r="B130" s="161" t="s">
        <v>285</v>
      </c>
      <c r="C130" s="161" t="s">
        <v>322</v>
      </c>
      <c r="D130" s="161">
        <v>-6.666666666666666</v>
      </c>
      <c r="E130" s="161">
        <v>121.11111111111111</v>
      </c>
      <c r="F130" s="161"/>
      <c r="G130" s="161" t="s">
        <v>196</v>
      </c>
      <c r="H130" s="161" t="s">
        <v>196</v>
      </c>
      <c r="I130" s="161" t="s">
        <v>196</v>
      </c>
      <c r="J130" s="161">
        <v>-3.743945916942336</v>
      </c>
      <c r="K130" s="161">
        <v>656.3234211955325</v>
      </c>
      <c r="L130" s="161">
        <v>-145.48572600475</v>
      </c>
      <c r="M130" s="161">
        <v>-0.5304660419579063</v>
      </c>
      <c r="N130" s="161">
        <v>1028.4179642240044</v>
      </c>
      <c r="O130" s="161">
        <v>0.0008281749108472741</v>
      </c>
      <c r="P130" s="161">
        <v>0.46793190087803566</v>
      </c>
      <c r="Q130" s="161">
        <v>0.002197019345925527</v>
      </c>
      <c r="R130" s="162">
        <v>3.931385768548299</v>
      </c>
      <c r="S130" s="161"/>
      <c r="T130" s="161"/>
      <c r="U130" s="161"/>
      <c r="V130" s="162"/>
      <c r="W130" s="162"/>
      <c r="X130" s="51"/>
      <c r="Y130" s="51"/>
      <c r="Z130" s="51"/>
      <c r="AA130" s="51"/>
      <c r="AB130" s="51"/>
      <c r="AC130" s="152">
        <v>-6.666666666666666</v>
      </c>
      <c r="AD130" s="153">
        <v>-1.1111111111111112</v>
      </c>
      <c r="AE130" s="153">
        <v>15.555555555555555</v>
      </c>
      <c r="AF130" s="153">
        <v>37.77777777777778</v>
      </c>
      <c r="AG130" s="153">
        <v>71.11111111111111</v>
      </c>
      <c r="AH130" s="153">
        <v>104.44444444444444</v>
      </c>
      <c r="AI130" s="154">
        <v>1028.8656858000002</v>
      </c>
      <c r="AJ130" s="154">
        <v>1027.4240244</v>
      </c>
      <c r="AK130" s="154">
        <v>1021.8175634</v>
      </c>
      <c r="AL130" s="154">
        <v>1012.3666720000001</v>
      </c>
      <c r="AM130" s="154">
        <v>993.6250738000001</v>
      </c>
      <c r="AN130" s="154">
        <v>969.11683</v>
      </c>
      <c r="AO130" s="155">
        <v>3.9188448</v>
      </c>
      <c r="AP130" s="155">
        <v>3.9272183999999997</v>
      </c>
      <c r="AQ130" s="155">
        <v>3.9648996</v>
      </c>
      <c r="AR130" s="155">
        <v>4.0151411999999995</v>
      </c>
      <c r="AS130" s="155">
        <v>4.0863168</v>
      </c>
      <c r="AT130" s="155">
        <v>4.1616792</v>
      </c>
      <c r="AU130" s="156">
        <v>0.45345257</v>
      </c>
      <c r="AV130" s="156">
        <v>0.462106245</v>
      </c>
      <c r="AW130" s="156">
        <v>0.486336535</v>
      </c>
      <c r="AX130" s="156">
        <v>0.510566825</v>
      </c>
      <c r="AY130" s="156">
        <v>0.5347971149999999</v>
      </c>
      <c r="AZ130" s="156">
        <v>0.54345079</v>
      </c>
      <c r="BA130" s="157">
        <v>5.36</v>
      </c>
      <c r="BB130" s="157">
        <v>4.23</v>
      </c>
      <c r="BC130" s="157">
        <v>2.32</v>
      </c>
      <c r="BD130" s="157">
        <v>1.25</v>
      </c>
      <c r="BE130" s="157">
        <v>0.64</v>
      </c>
      <c r="BF130" s="157">
        <v>0.4</v>
      </c>
      <c r="BG130" s="158">
        <v>0</v>
      </c>
      <c r="BH130" s="158">
        <v>0</v>
      </c>
      <c r="BI130" s="158">
        <v>0</v>
      </c>
      <c r="BJ130" s="159" t="s">
        <v>323</v>
      </c>
      <c r="BK130" s="171"/>
    </row>
    <row r="131" spans="1:63" s="61" customFormat="1" ht="12.75" customHeight="1">
      <c r="A131" s="160" t="s">
        <v>324</v>
      </c>
      <c r="B131" s="161" t="s">
        <v>285</v>
      </c>
      <c r="C131" s="161" t="s">
        <v>322</v>
      </c>
      <c r="D131" s="161">
        <v>-6.666666666666666</v>
      </c>
      <c r="E131" s="161">
        <v>121.11111111111111</v>
      </c>
      <c r="F131" s="161"/>
      <c r="G131" s="161" t="s">
        <v>196</v>
      </c>
      <c r="H131" s="161" t="s">
        <v>196</v>
      </c>
      <c r="I131" s="161" t="s">
        <v>196</v>
      </c>
      <c r="J131" s="161">
        <v>-4.057868832210839</v>
      </c>
      <c r="K131" s="161">
        <v>747.1472762962723</v>
      </c>
      <c r="L131" s="161">
        <v>-159.32119383243798</v>
      </c>
      <c r="M131" s="161">
        <v>-0.6083117805487968</v>
      </c>
      <c r="N131" s="161">
        <v>1045.7625857606035</v>
      </c>
      <c r="O131" s="161">
        <v>0.0005525622407355023</v>
      </c>
      <c r="P131" s="161">
        <v>0.3829529851338991</v>
      </c>
      <c r="Q131" s="161">
        <v>0.0032916420254596886</v>
      </c>
      <c r="R131" s="162">
        <v>3.637705029250353</v>
      </c>
      <c r="S131" s="161"/>
      <c r="T131" s="161"/>
      <c r="U131" s="161"/>
      <c r="V131" s="162"/>
      <c r="W131" s="162"/>
      <c r="X131" s="51"/>
      <c r="Y131" s="51"/>
      <c r="Z131" s="51"/>
      <c r="AA131" s="51"/>
      <c r="AB131" s="51"/>
      <c r="AC131" s="152">
        <v>-17.77777777777778</v>
      </c>
      <c r="AD131" s="153">
        <v>-12.222222222222221</v>
      </c>
      <c r="AE131" s="153">
        <v>10</v>
      </c>
      <c r="AF131" s="153">
        <v>32.22222222222222</v>
      </c>
      <c r="AG131" s="153">
        <v>60</v>
      </c>
      <c r="AH131" s="153">
        <v>104.44444444444444</v>
      </c>
      <c r="AI131" s="154">
        <v>1052.5730065999999</v>
      </c>
      <c r="AJ131" s="154">
        <v>1050.810976</v>
      </c>
      <c r="AK131" s="154">
        <v>1042.1610076000002</v>
      </c>
      <c r="AL131" s="154">
        <v>1030.9480856</v>
      </c>
      <c r="AM131" s="154">
        <v>1013.4879642000001</v>
      </c>
      <c r="AN131" s="154">
        <v>977.12606</v>
      </c>
      <c r="AO131" s="155">
        <v>3.5797139999999996</v>
      </c>
      <c r="AP131" s="155">
        <v>3.5964612</v>
      </c>
      <c r="AQ131" s="155">
        <v>3.6718235999999997</v>
      </c>
      <c r="AR131" s="155">
        <v>3.7429992</v>
      </c>
      <c r="AS131" s="155">
        <v>3.8351088</v>
      </c>
      <c r="AT131" s="155">
        <v>3.9816467999999996</v>
      </c>
      <c r="AU131" s="156">
        <v>0.36518508499999996</v>
      </c>
      <c r="AV131" s="156">
        <v>0.37210802499999995</v>
      </c>
      <c r="AW131" s="156">
        <v>0.392876845</v>
      </c>
      <c r="AX131" s="156">
        <v>0.410184195</v>
      </c>
      <c r="AY131" s="156">
        <v>0.42403007499999995</v>
      </c>
      <c r="AZ131" s="156">
        <v>0.430953015</v>
      </c>
      <c r="BA131" s="157">
        <v>40.92</v>
      </c>
      <c r="BB131" s="157">
        <v>26.99</v>
      </c>
      <c r="BC131" s="157">
        <v>7.21</v>
      </c>
      <c r="BD131" s="157">
        <v>2.88</v>
      </c>
      <c r="BE131" s="157">
        <v>1.31</v>
      </c>
      <c r="BF131" s="157">
        <v>0.53</v>
      </c>
      <c r="BG131" s="158">
        <v>0</v>
      </c>
      <c r="BH131" s="158">
        <v>0</v>
      </c>
      <c r="BI131" s="158">
        <v>0</v>
      </c>
      <c r="BJ131" s="159" t="s">
        <v>323</v>
      </c>
      <c r="BK131" s="171"/>
    </row>
    <row r="132" spans="1:63" s="61" customFormat="1" ht="12.75" customHeight="1">
      <c r="A132" s="160" t="s">
        <v>325</v>
      </c>
      <c r="B132" s="161" t="s">
        <v>285</v>
      </c>
      <c r="C132" s="161" t="s">
        <v>322</v>
      </c>
      <c r="D132" s="161">
        <v>-28.88888888888889</v>
      </c>
      <c r="E132" s="161">
        <v>121.11111111111111</v>
      </c>
      <c r="F132" s="161"/>
      <c r="G132" s="161" t="s">
        <v>196</v>
      </c>
      <c r="H132" s="161" t="s">
        <v>196</v>
      </c>
      <c r="I132" s="161" t="s">
        <v>196</v>
      </c>
      <c r="J132" s="161">
        <v>-4.270973686816239</v>
      </c>
      <c r="K132" s="161">
        <v>936.234235519587</v>
      </c>
      <c r="L132" s="161">
        <v>-150.36144215172953</v>
      </c>
      <c r="M132" s="161">
        <v>-0.6521685214576275</v>
      </c>
      <c r="N132" s="161">
        <v>1056.382866086328</v>
      </c>
      <c r="O132" s="161">
        <v>0.0002989918048728814</v>
      </c>
      <c r="P132" s="161">
        <v>0.3124316466193503</v>
      </c>
      <c r="Q132" s="161">
        <v>0.004409977728813558</v>
      </c>
      <c r="R132" s="162">
        <v>3.2528514701694915</v>
      </c>
      <c r="S132" s="161"/>
      <c r="T132" s="161"/>
      <c r="U132" s="161"/>
      <c r="V132" s="162"/>
      <c r="W132" s="162"/>
      <c r="X132" s="51"/>
      <c r="Y132" s="51"/>
      <c r="Z132" s="51"/>
      <c r="AA132" s="51"/>
      <c r="AB132" s="51"/>
      <c r="AC132" s="152">
        <v>-34.44444444444444</v>
      </c>
      <c r="AD132" s="153">
        <v>-28.88888888888889</v>
      </c>
      <c r="AE132" s="153">
        <v>-1.1111111111111112</v>
      </c>
      <c r="AF132" s="153">
        <v>26.666666666666664</v>
      </c>
      <c r="AG132" s="153">
        <v>60</v>
      </c>
      <c r="AH132" s="153">
        <v>104.44444444444444</v>
      </c>
      <c r="AI132" s="154">
        <v>1074.037743</v>
      </c>
      <c r="AJ132" s="154">
        <v>1072.1155278</v>
      </c>
      <c r="AK132" s="154">
        <v>1060.7424212</v>
      </c>
      <c r="AL132" s="154">
        <v>1045.3646996000002</v>
      </c>
      <c r="AM132" s="154">
        <v>1021.8175634</v>
      </c>
      <c r="AN132" s="154">
        <v>981.6112288</v>
      </c>
      <c r="AO132" s="155">
        <v>3.1024187999999997</v>
      </c>
      <c r="AP132" s="155">
        <v>3.1233527999999997</v>
      </c>
      <c r="AQ132" s="155">
        <v>3.2489568</v>
      </c>
      <c r="AR132" s="155">
        <v>3.370374</v>
      </c>
      <c r="AS132" s="155">
        <v>3.5169119999999996</v>
      </c>
      <c r="AT132" s="155">
        <v>3.7136915999999998</v>
      </c>
      <c r="AU132" s="156">
        <v>0.295955685</v>
      </c>
      <c r="AV132" s="156">
        <v>0.30114789</v>
      </c>
      <c r="AW132" s="156">
        <v>0.316724505</v>
      </c>
      <c r="AX132" s="156">
        <v>0.327108915</v>
      </c>
      <c r="AY132" s="156">
        <v>0.3348972225</v>
      </c>
      <c r="AZ132" s="156">
        <v>0.3366279575</v>
      </c>
      <c r="BA132" s="157">
        <v>497.57</v>
      </c>
      <c r="BB132" s="157">
        <v>298.75</v>
      </c>
      <c r="BC132" s="157">
        <v>33.68</v>
      </c>
      <c r="BD132" s="157">
        <v>7.34</v>
      </c>
      <c r="BE132" s="157">
        <v>2.22</v>
      </c>
      <c r="BF132" s="157">
        <v>0.86</v>
      </c>
      <c r="BG132" s="158">
        <v>0</v>
      </c>
      <c r="BH132" s="158">
        <v>0</v>
      </c>
      <c r="BI132" s="158">
        <v>0</v>
      </c>
      <c r="BJ132" s="159" t="s">
        <v>323</v>
      </c>
      <c r="BK132" s="171"/>
    </row>
    <row r="133" spans="1:63" s="61" customFormat="1" ht="12.75" customHeight="1">
      <c r="A133" s="160" t="s">
        <v>326</v>
      </c>
      <c r="B133" s="161" t="s">
        <v>285</v>
      </c>
      <c r="C133" s="161" t="s">
        <v>322</v>
      </c>
      <c r="D133" s="161">
        <v>-28.88888888888889</v>
      </c>
      <c r="E133" s="161">
        <v>121.11111111111111</v>
      </c>
      <c r="F133" s="161"/>
      <c r="G133" s="161" t="s">
        <v>196</v>
      </c>
      <c r="H133" s="161" t="s">
        <v>196</v>
      </c>
      <c r="I133" s="161" t="s">
        <v>196</v>
      </c>
      <c r="J133" s="161">
        <v>-4.610304361652682</v>
      </c>
      <c r="K133" s="161">
        <v>1143.8308191929407</v>
      </c>
      <c r="L133" s="161">
        <v>-143.2188042940196</v>
      </c>
      <c r="M133" s="161">
        <v>-0.7901037520169486</v>
      </c>
      <c r="N133" s="161">
        <v>1069.0126977981354</v>
      </c>
      <c r="O133" s="161">
        <v>2.6401042372881974E-06</v>
      </c>
      <c r="P133" s="161">
        <v>0.2575353236327683</v>
      </c>
      <c r="Q133" s="161">
        <v>0.0050518354576271195</v>
      </c>
      <c r="R133" s="162">
        <v>2.763401540338983</v>
      </c>
      <c r="S133" s="161"/>
      <c r="T133" s="161"/>
      <c r="U133" s="161"/>
      <c r="V133" s="162"/>
      <c r="W133" s="162"/>
      <c r="X133" s="51"/>
      <c r="Y133" s="51"/>
      <c r="Z133" s="51"/>
      <c r="AA133" s="51"/>
      <c r="AB133" s="51"/>
      <c r="AC133" s="152">
        <v>-34.44444444444444</v>
      </c>
      <c r="AD133" s="153">
        <v>-28.88888888888889</v>
      </c>
      <c r="AE133" s="153">
        <v>-1.1111111111111112</v>
      </c>
      <c r="AF133" s="153">
        <v>26.666666666666664</v>
      </c>
      <c r="AG133" s="153">
        <v>60</v>
      </c>
      <c r="AH133" s="153">
        <v>104.44444444444444</v>
      </c>
      <c r="AI133" s="154">
        <v>1095.3422948</v>
      </c>
      <c r="AJ133" s="154">
        <v>1091.3376798</v>
      </c>
      <c r="AK133" s="154">
        <v>1070.5136818</v>
      </c>
      <c r="AL133" s="154">
        <v>1049.0489454</v>
      </c>
      <c r="AM133" s="154">
        <v>1022.4583018000001</v>
      </c>
      <c r="AN133" s="154">
        <v>985.2954746</v>
      </c>
      <c r="AO133" s="155">
        <v>2.5748819999999997</v>
      </c>
      <c r="AP133" s="155">
        <v>2.6083764</v>
      </c>
      <c r="AQ133" s="155">
        <v>2.763288</v>
      </c>
      <c r="AR133" s="155">
        <v>2.9140127999999996</v>
      </c>
      <c r="AS133" s="155">
        <v>3.098232</v>
      </c>
      <c r="AT133" s="155">
        <v>3.2615172</v>
      </c>
      <c r="AU133" s="156">
        <v>0.254418045</v>
      </c>
      <c r="AV133" s="156">
        <v>0.25614877999999996</v>
      </c>
      <c r="AW133" s="156">
        <v>0.25961025</v>
      </c>
      <c r="AX133" s="156">
        <v>0.26134098499999997</v>
      </c>
      <c r="AY133" s="156">
        <v>0.25961025</v>
      </c>
      <c r="AZ133" s="156">
        <v>0.254418045</v>
      </c>
      <c r="BA133" s="157">
        <v>1363.75</v>
      </c>
      <c r="BB133" s="157">
        <v>820.58</v>
      </c>
      <c r="BC133" s="157">
        <v>80.66</v>
      </c>
      <c r="BD133" s="157">
        <v>14.79</v>
      </c>
      <c r="BE133" s="157">
        <v>3.82</v>
      </c>
      <c r="BF133" s="157">
        <v>1.31</v>
      </c>
      <c r="BG133" s="158">
        <v>0</v>
      </c>
      <c r="BH133" s="158">
        <v>0</v>
      </c>
      <c r="BI133" s="158">
        <v>0</v>
      </c>
      <c r="BJ133" s="159" t="s">
        <v>323</v>
      </c>
      <c r="BK133" s="171"/>
    </row>
    <row r="134" spans="1:63" s="61" customFormat="1" ht="12.75" customHeight="1">
      <c r="A134" s="160" t="s">
        <v>327</v>
      </c>
      <c r="B134" s="161" t="s">
        <v>285</v>
      </c>
      <c r="C134" s="161" t="s">
        <v>328</v>
      </c>
      <c r="D134" s="161">
        <v>0</v>
      </c>
      <c r="E134" s="161">
        <v>315</v>
      </c>
      <c r="F134" s="161"/>
      <c r="G134" s="161" t="s">
        <v>196</v>
      </c>
      <c r="H134" s="161" t="s">
        <v>196</v>
      </c>
      <c r="I134" s="161" t="s">
        <v>196</v>
      </c>
      <c r="J134" s="161">
        <v>-3.485064550766034</v>
      </c>
      <c r="K134" s="161">
        <v>1205.7573354739288</v>
      </c>
      <c r="L134" s="161">
        <v>-123.22887326507656</v>
      </c>
      <c r="M134" s="161">
        <v>-0.6731730924342636</v>
      </c>
      <c r="N134" s="161">
        <v>890.3946335430446</v>
      </c>
      <c r="O134" s="161">
        <v>-7.980642039038551E-05</v>
      </c>
      <c r="P134" s="161">
        <v>0.13640671613701133</v>
      </c>
      <c r="Q134" s="161">
        <v>0.0036538796580093563</v>
      </c>
      <c r="R134" s="162">
        <v>1.8939248803570468</v>
      </c>
      <c r="S134" s="161">
        <v>180</v>
      </c>
      <c r="T134" s="161">
        <v>330</v>
      </c>
      <c r="U134" s="161"/>
      <c r="V134" s="162"/>
      <c r="W134" s="162"/>
      <c r="X134" s="51"/>
      <c r="Y134" s="51"/>
      <c r="Z134" s="51"/>
      <c r="AA134" s="51"/>
      <c r="AB134" s="51"/>
      <c r="AC134" s="152">
        <v>0</v>
      </c>
      <c r="AD134" s="153">
        <v>20</v>
      </c>
      <c r="AE134" s="153">
        <v>90</v>
      </c>
      <c r="AF134" s="153">
        <v>160</v>
      </c>
      <c r="AG134" s="153">
        <v>240</v>
      </c>
      <c r="AH134" s="153">
        <v>315</v>
      </c>
      <c r="AI134" s="154">
        <v>890</v>
      </c>
      <c r="AJ134" s="154">
        <v>877</v>
      </c>
      <c r="AK134" s="154">
        <v>830</v>
      </c>
      <c r="AL134" s="154">
        <v>783</v>
      </c>
      <c r="AM134" s="154">
        <v>729</v>
      </c>
      <c r="AN134" s="154">
        <v>678</v>
      </c>
      <c r="AO134" s="155">
        <v>1.894</v>
      </c>
      <c r="AP134" s="155">
        <v>1.967</v>
      </c>
      <c r="AQ134" s="155">
        <v>2.223</v>
      </c>
      <c r="AR134" s="155">
        <v>2.478</v>
      </c>
      <c r="AS134" s="155">
        <v>2.771</v>
      </c>
      <c r="AT134" s="155">
        <v>3.045</v>
      </c>
      <c r="AU134" s="156">
        <v>0.1361</v>
      </c>
      <c r="AV134" s="156">
        <v>0.1347</v>
      </c>
      <c r="AW134" s="156">
        <v>0.1295</v>
      </c>
      <c r="AX134" s="156">
        <v>0.124</v>
      </c>
      <c r="AY134" s="156">
        <v>0.1174</v>
      </c>
      <c r="AZ134" s="156">
        <v>0.1109</v>
      </c>
      <c r="BA134" s="157">
        <v>160</v>
      </c>
      <c r="BB134" s="157">
        <v>37</v>
      </c>
      <c r="BC134" s="157">
        <v>4.1</v>
      </c>
      <c r="BD134" s="157">
        <v>1.5</v>
      </c>
      <c r="BE134" s="157">
        <v>0.69</v>
      </c>
      <c r="BF134" s="157">
        <v>0.41</v>
      </c>
      <c r="BG134" s="158">
        <v>0</v>
      </c>
      <c r="BH134" s="158">
        <v>0</v>
      </c>
      <c r="BI134" s="158">
        <v>0</v>
      </c>
      <c r="BJ134" s="159" t="s">
        <v>329</v>
      </c>
      <c r="BK134" s="171"/>
    </row>
    <row r="135" spans="1:63" s="61" customFormat="1" ht="12.75" customHeight="1">
      <c r="A135" s="160" t="s">
        <v>101</v>
      </c>
      <c r="B135" s="161">
        <v>0</v>
      </c>
      <c r="C135" s="161" t="s">
        <v>469</v>
      </c>
      <c r="D135" s="161">
        <v>0</v>
      </c>
      <c r="E135" s="161">
        <v>0</v>
      </c>
      <c r="F135" s="161"/>
      <c r="G135" s="161">
        <v>8.242261841002826</v>
      </c>
      <c r="H135" s="161">
        <v>1664.5211555082515</v>
      </c>
      <c r="I135" s="161">
        <v>232.33978145054843</v>
      </c>
      <c r="J135" s="161">
        <v>-11.70675300096024</v>
      </c>
      <c r="K135" s="161">
        <v>8152.4500168030645</v>
      </c>
      <c r="L135" s="161">
        <v>393.04236983041204</v>
      </c>
      <c r="M135" s="161">
        <v>-0.859</v>
      </c>
      <c r="N135" s="161">
        <v>806.45</v>
      </c>
      <c r="O135" s="161">
        <v>0</v>
      </c>
      <c r="P135" s="161">
        <v>0.181727175</v>
      </c>
      <c r="Q135" s="161">
        <v>0.015024630857142859</v>
      </c>
      <c r="R135" s="162">
        <v>2.055040937142857</v>
      </c>
      <c r="S135" s="161">
        <v>13</v>
      </c>
      <c r="T135" s="161">
        <v>78.4</v>
      </c>
      <c r="U135" s="161"/>
      <c r="V135" s="162">
        <v>46.07</v>
      </c>
      <c r="W135" s="162">
        <v>842</v>
      </c>
      <c r="X135" s="51"/>
      <c r="Y135" s="51"/>
      <c r="Z135" s="51"/>
      <c r="AA135" s="51"/>
      <c r="AB135" s="51"/>
      <c r="AC135" s="152">
        <v>-10</v>
      </c>
      <c r="AD135" s="153">
        <v>0</v>
      </c>
      <c r="AE135" s="153">
        <v>10</v>
      </c>
      <c r="AF135" s="153">
        <v>20</v>
      </c>
      <c r="AG135" s="153">
        <v>30</v>
      </c>
      <c r="AH135" s="153">
        <v>40</v>
      </c>
      <c r="AI135" s="154">
        <v>815.04</v>
      </c>
      <c r="AJ135" s="154">
        <v>806.45</v>
      </c>
      <c r="AK135" s="154">
        <v>797.86</v>
      </c>
      <c r="AL135" s="154">
        <v>789.27</v>
      </c>
      <c r="AM135" s="154">
        <v>780.68</v>
      </c>
      <c r="AN135" s="154">
        <v>772.09</v>
      </c>
      <c r="AO135" s="155">
        <v>1.9133676</v>
      </c>
      <c r="AP135" s="155">
        <v>2.051532</v>
      </c>
      <c r="AQ135" s="155">
        <v>2.19807</v>
      </c>
      <c r="AR135" s="155">
        <v>2.3529816</v>
      </c>
      <c r="AS135" s="155">
        <v>2.5037064</v>
      </c>
      <c r="AT135" s="155">
        <v>2.6628048</v>
      </c>
      <c r="AU135" s="156">
        <v>0.181727175</v>
      </c>
      <c r="AV135" s="156">
        <v>0.181727175</v>
      </c>
      <c r="AW135" s="156">
        <v>0.181727175</v>
      </c>
      <c r="AX135" s="156">
        <v>0.181727175</v>
      </c>
      <c r="AY135" s="156">
        <v>0.181727175</v>
      </c>
      <c r="AZ135" s="156">
        <v>0.181727175</v>
      </c>
      <c r="BA135" s="157">
        <v>2.07</v>
      </c>
      <c r="BB135" s="157">
        <v>1.7</v>
      </c>
      <c r="BC135" s="157">
        <v>1.4</v>
      </c>
      <c r="BD135" s="157">
        <v>1.19</v>
      </c>
      <c r="BE135" s="157">
        <v>0.98</v>
      </c>
      <c r="BF135" s="157">
        <v>0.85</v>
      </c>
      <c r="BG135" s="158">
        <v>11.97</v>
      </c>
      <c r="BH135" s="158">
        <v>44.25</v>
      </c>
      <c r="BI135" s="158">
        <v>135</v>
      </c>
      <c r="BJ135" s="159" t="s">
        <v>470</v>
      </c>
      <c r="BK135" s="171"/>
    </row>
    <row r="136" spans="1:63" s="61" customFormat="1" ht="12.75" customHeight="1">
      <c r="A136" s="160" t="s">
        <v>467</v>
      </c>
      <c r="B136" s="161">
        <v>0</v>
      </c>
      <c r="C136" s="161" t="s">
        <v>469</v>
      </c>
      <c r="D136" s="161">
        <v>0</v>
      </c>
      <c r="E136" s="161">
        <v>0</v>
      </c>
      <c r="F136" s="161"/>
      <c r="G136" s="161" t="s">
        <v>196</v>
      </c>
      <c r="H136" s="161" t="s">
        <v>196</v>
      </c>
      <c r="I136" s="161" t="s">
        <v>196</v>
      </c>
      <c r="J136" s="161">
        <v>-38.725900849957576</v>
      </c>
      <c r="K136" s="161">
        <v>37120.58079725326</v>
      </c>
      <c r="L136" s="161">
        <v>525.3966053088325</v>
      </c>
      <c r="M136" s="161">
        <v>-2.6132000000000004</v>
      </c>
      <c r="N136" s="161">
        <v>1293.347</v>
      </c>
      <c r="O136" s="161">
        <v>0</v>
      </c>
      <c r="P136" s="161">
        <v>0.28384054</v>
      </c>
      <c r="Q136" s="161">
        <v>0.005167707428571426</v>
      </c>
      <c r="R136" s="162">
        <v>2.286949782857143</v>
      </c>
      <c r="S136" s="161">
        <v>160</v>
      </c>
      <c r="T136" s="161">
        <v>290</v>
      </c>
      <c r="U136" s="161"/>
      <c r="V136" s="162">
        <v>92.1</v>
      </c>
      <c r="W136" s="162">
        <v>663</v>
      </c>
      <c r="X136" s="51"/>
      <c r="Y136" s="51"/>
      <c r="Z136" s="51"/>
      <c r="AA136" s="51"/>
      <c r="AB136" s="51"/>
      <c r="AC136" s="152">
        <v>60</v>
      </c>
      <c r="AD136" s="153">
        <v>80</v>
      </c>
      <c r="AE136" s="153">
        <v>100</v>
      </c>
      <c r="AF136" s="153">
        <v>120</v>
      </c>
      <c r="AG136" s="153">
        <v>140</v>
      </c>
      <c r="AH136" s="153">
        <v>160</v>
      </c>
      <c r="AI136" s="154">
        <v>1136.555</v>
      </c>
      <c r="AJ136" s="154">
        <v>1084.2909999999997</v>
      </c>
      <c r="AK136" s="154">
        <v>1032.0269999999998</v>
      </c>
      <c r="AL136" s="154">
        <v>979.7629999999997</v>
      </c>
      <c r="AM136" s="154">
        <v>927.4989999999998</v>
      </c>
      <c r="AN136" s="154">
        <v>875.235</v>
      </c>
      <c r="AO136" s="155">
        <v>2.5958159999999997</v>
      </c>
      <c r="AP136" s="155">
        <v>2.700486</v>
      </c>
      <c r="AQ136" s="155">
        <v>2.805156</v>
      </c>
      <c r="AR136" s="155">
        <v>2.9056391999999995</v>
      </c>
      <c r="AS136" s="155">
        <v>3.014496</v>
      </c>
      <c r="AT136" s="155">
        <v>3.1107924</v>
      </c>
      <c r="AU136" s="156">
        <v>0.28384054</v>
      </c>
      <c r="AV136" s="156">
        <v>0.28384054</v>
      </c>
      <c r="AW136" s="156">
        <v>0.28384054</v>
      </c>
      <c r="AX136" s="156">
        <v>0.28384054</v>
      </c>
      <c r="AY136" s="156">
        <v>0.28384054</v>
      </c>
      <c r="AZ136" s="156">
        <v>0.28384054</v>
      </c>
      <c r="BA136" s="157">
        <v>92</v>
      </c>
      <c r="BB136" s="157">
        <v>34</v>
      </c>
      <c r="BC136" s="157">
        <v>13.5</v>
      </c>
      <c r="BD136" s="157">
        <v>5.4</v>
      </c>
      <c r="BE136" s="157">
        <v>2.4</v>
      </c>
      <c r="BF136" s="157">
        <v>1</v>
      </c>
      <c r="BG136" s="158">
        <v>0</v>
      </c>
      <c r="BH136" s="158">
        <v>0</v>
      </c>
      <c r="BI136" s="158">
        <v>0</v>
      </c>
      <c r="BJ136" s="159" t="s">
        <v>470</v>
      </c>
      <c r="BK136" s="171"/>
    </row>
    <row r="137" spans="1:63" s="61" customFormat="1" ht="12.75" customHeight="1">
      <c r="A137" s="160" t="s">
        <v>645</v>
      </c>
      <c r="B137" s="161">
        <v>0</v>
      </c>
      <c r="C137" s="161" t="s">
        <v>469</v>
      </c>
      <c r="D137" s="161">
        <v>0</v>
      </c>
      <c r="E137" s="161">
        <v>0</v>
      </c>
      <c r="F137" s="161"/>
      <c r="G137" s="161">
        <v>6.703282362493368</v>
      </c>
      <c r="H137" s="161">
        <v>1088.1131367494402</v>
      </c>
      <c r="I137" s="161">
        <v>215.752067769281</v>
      </c>
      <c r="J137" s="161">
        <v>-6.665316044471092</v>
      </c>
      <c r="K137" s="161">
        <v>3106.1264734030747</v>
      </c>
      <c r="L137" s="161">
        <v>275.22990263144993</v>
      </c>
      <c r="M137" s="161">
        <v>-0.9201729956510628</v>
      </c>
      <c r="N137" s="161">
        <v>678.1547177894862</v>
      </c>
      <c r="O137" s="161">
        <v>-0.00036794152299999996</v>
      </c>
      <c r="P137" s="161">
        <v>0.13034740884127502</v>
      </c>
      <c r="Q137" s="161">
        <v>0.003088893690001385</v>
      </c>
      <c r="R137" s="162">
        <v>2.1691222582494194</v>
      </c>
      <c r="S137" s="161">
        <v>-21.666666666666668</v>
      </c>
      <c r="T137" s="161">
        <v>68.77777777777779</v>
      </c>
      <c r="U137" s="161"/>
      <c r="V137" s="162">
        <v>86.177</v>
      </c>
      <c r="W137" s="162">
        <v>334.944</v>
      </c>
      <c r="X137" s="51"/>
      <c r="Y137" s="51"/>
      <c r="Z137" s="51"/>
      <c r="AA137" s="51"/>
      <c r="AB137" s="51"/>
      <c r="AC137" s="152">
        <v>-20</v>
      </c>
      <c r="AD137" s="153">
        <v>0</v>
      </c>
      <c r="AE137" s="153">
        <v>20</v>
      </c>
      <c r="AF137" s="153">
        <v>40</v>
      </c>
      <c r="AG137" s="153">
        <v>60</v>
      </c>
      <c r="AH137" s="153">
        <v>80</v>
      </c>
      <c r="AI137" s="154">
        <v>695.2899583832784</v>
      </c>
      <c r="AJ137" s="154">
        <v>678.3378428392499</v>
      </c>
      <c r="AK137" s="154">
        <v>660.759704903513</v>
      </c>
      <c r="AL137" s="154">
        <v>642.4578782516189</v>
      </c>
      <c r="AM137" s="154">
        <v>623.3074327900188</v>
      </c>
      <c r="AN137" s="154">
        <v>603.1443503520471</v>
      </c>
      <c r="AO137" s="155">
        <v>2.11965704103603</v>
      </c>
      <c r="AP137" s="155">
        <v>2.1680633162888805</v>
      </c>
      <c r="AQ137" s="155">
        <v>2.2210500067801378</v>
      </c>
      <c r="AR137" s="155">
        <v>2.2809564281044463</v>
      </c>
      <c r="AS137" s="155">
        <v>2.3501218958564567</v>
      </c>
      <c r="AT137" s="155">
        <v>2.4308857256308163</v>
      </c>
      <c r="AU137" s="156">
        <v>0.13739395930127501</v>
      </c>
      <c r="AV137" s="156">
        <v>0.130409864841275</v>
      </c>
      <c r="AW137" s="156">
        <v>0.12323840238127502</v>
      </c>
      <c r="AX137" s="156">
        <v>0.11587957192127503</v>
      </c>
      <c r="AY137" s="156">
        <v>0.10833337346127501</v>
      </c>
      <c r="AZ137" s="156">
        <v>0.10059980700127502</v>
      </c>
      <c r="BA137" s="157">
        <v>0.46462273071793997</v>
      </c>
      <c r="BB137" s="157">
        <v>0.3674644290880894</v>
      </c>
      <c r="BC137" s="157">
        <v>0.30002736433559013</v>
      </c>
      <c r="BD137" s="157">
        <v>0.25002388424907274</v>
      </c>
      <c r="BE137" s="157">
        <v>0.21081988244101324</v>
      </c>
      <c r="BF137" s="157">
        <v>0.1786645872966234</v>
      </c>
      <c r="BG137" s="158">
        <v>45.70172722614984</v>
      </c>
      <c r="BH137" s="158">
        <v>281.00881334882047</v>
      </c>
      <c r="BI137" s="158">
        <v>1057.165028561245</v>
      </c>
      <c r="BJ137" s="159" t="s">
        <v>656</v>
      </c>
      <c r="BK137" s="171"/>
    </row>
    <row r="138" spans="1:63" s="61" customFormat="1" ht="12.75" customHeight="1">
      <c r="A138" s="160" t="s">
        <v>330</v>
      </c>
      <c r="B138" s="161" t="s">
        <v>331</v>
      </c>
      <c r="C138" s="161" t="s">
        <v>332</v>
      </c>
      <c r="D138" s="161">
        <v>60</v>
      </c>
      <c r="E138" s="161">
        <v>300</v>
      </c>
      <c r="F138" s="161"/>
      <c r="G138" s="161">
        <v>0.7107590256888463</v>
      </c>
      <c r="H138" s="161">
        <v>588.6311477856904</v>
      </c>
      <c r="I138" s="161">
        <v>-607.7825590266408</v>
      </c>
      <c r="J138" s="161">
        <v>-4.462809059940083</v>
      </c>
      <c r="K138" s="161">
        <v>1669.1330432094908</v>
      </c>
      <c r="L138" s="161">
        <v>-79.90728727500998</v>
      </c>
      <c r="M138" s="161">
        <v>-0.6568209500609014</v>
      </c>
      <c r="N138" s="161">
        <v>861.6443361753959</v>
      </c>
      <c r="O138" s="161">
        <v>-6.090133982947627E-05</v>
      </c>
      <c r="P138" s="161">
        <v>0.13439585870889162</v>
      </c>
      <c r="Q138" s="161">
        <v>0.003764920828258222</v>
      </c>
      <c r="R138" s="162">
        <v>1.8370280146163211</v>
      </c>
      <c r="S138" s="161">
        <v>216</v>
      </c>
      <c r="T138" s="161">
        <v>340</v>
      </c>
      <c r="U138" s="161"/>
      <c r="V138" s="162"/>
      <c r="W138" s="162"/>
      <c r="X138" s="51"/>
      <c r="Y138" s="51"/>
      <c r="Z138" s="51"/>
      <c r="AA138" s="51"/>
      <c r="AB138" s="51"/>
      <c r="AC138" s="152">
        <v>20</v>
      </c>
      <c r="AD138" s="153">
        <v>60</v>
      </c>
      <c r="AE138" s="153">
        <v>100</v>
      </c>
      <c r="AF138" s="153">
        <v>160</v>
      </c>
      <c r="AG138" s="153">
        <v>220</v>
      </c>
      <c r="AH138" s="153">
        <v>300</v>
      </c>
      <c r="AI138" s="154">
        <v>847</v>
      </c>
      <c r="AJ138" s="154">
        <v>822</v>
      </c>
      <c r="AK138" s="154">
        <v>797</v>
      </c>
      <c r="AL138" s="154">
        <v>758</v>
      </c>
      <c r="AM138" s="154">
        <v>718</v>
      </c>
      <c r="AN138" s="154">
        <v>663</v>
      </c>
      <c r="AO138" s="155">
        <v>1.95</v>
      </c>
      <c r="AP138" s="155">
        <v>2.07</v>
      </c>
      <c r="AQ138" s="155">
        <v>2.19</v>
      </c>
      <c r="AR138" s="155">
        <v>2.4</v>
      </c>
      <c r="AS138" s="155">
        <v>2.64</v>
      </c>
      <c r="AT138" s="155">
        <v>3.01</v>
      </c>
      <c r="AU138" s="156">
        <v>0.133</v>
      </c>
      <c r="AV138" s="156">
        <v>0.131</v>
      </c>
      <c r="AW138" s="156">
        <v>0.128</v>
      </c>
      <c r="AX138" s="156">
        <v>0.125</v>
      </c>
      <c r="AY138" s="156">
        <v>0.121</v>
      </c>
      <c r="AZ138" s="156">
        <v>0.116</v>
      </c>
      <c r="BA138" s="157">
        <v>40.1</v>
      </c>
      <c r="BB138" s="157">
        <v>8.4</v>
      </c>
      <c r="BC138" s="157">
        <v>3.3</v>
      </c>
      <c r="BD138" s="157">
        <v>1.3</v>
      </c>
      <c r="BE138" s="157">
        <v>0.71</v>
      </c>
      <c r="BF138" s="157">
        <v>0.34</v>
      </c>
      <c r="BG138" s="158">
        <v>61</v>
      </c>
      <c r="BH138" s="158">
        <v>106</v>
      </c>
      <c r="BI138" s="158">
        <v>420</v>
      </c>
      <c r="BJ138" s="159" t="s">
        <v>333</v>
      </c>
      <c r="BK138" s="171"/>
    </row>
    <row r="139" spans="1:63" s="61" customFormat="1" ht="12.75" customHeight="1">
      <c r="A139" s="160" t="s">
        <v>334</v>
      </c>
      <c r="B139" s="161" t="s">
        <v>331</v>
      </c>
      <c r="C139" s="161" t="s">
        <v>335</v>
      </c>
      <c r="D139" s="161">
        <v>0</v>
      </c>
      <c r="E139" s="161">
        <v>280</v>
      </c>
      <c r="F139" s="161"/>
      <c r="G139" s="161" t="s">
        <v>196</v>
      </c>
      <c r="H139" s="161" t="s">
        <v>196</v>
      </c>
      <c r="I139" s="161" t="s">
        <v>196</v>
      </c>
      <c r="J139" s="161">
        <v>-2.764971375545198</v>
      </c>
      <c r="K139" s="161">
        <v>699.2381518474455</v>
      </c>
      <c r="L139" s="161">
        <v>-125.2071480720282</v>
      </c>
      <c r="M139" s="161">
        <v>-0.807292759706191</v>
      </c>
      <c r="N139" s="161">
        <v>1013.8300104931794</v>
      </c>
      <c r="O139" s="161">
        <v>-0.00011521511017838405</v>
      </c>
      <c r="P139" s="161">
        <v>0.13374606505771247</v>
      </c>
      <c r="Q139" s="161">
        <v>0.003347848898216159</v>
      </c>
      <c r="R139" s="162">
        <v>1.5474606505771253</v>
      </c>
      <c r="S139" s="161">
        <v>130</v>
      </c>
      <c r="T139" s="161">
        <v>278</v>
      </c>
      <c r="U139" s="161"/>
      <c r="V139" s="162"/>
      <c r="W139" s="162"/>
      <c r="X139" s="51"/>
      <c r="Y139" s="51"/>
      <c r="Z139" s="51"/>
      <c r="AA139" s="51"/>
      <c r="AB139" s="51"/>
      <c r="AC139" s="152">
        <v>0</v>
      </c>
      <c r="AD139" s="153">
        <v>40</v>
      </c>
      <c r="AE139" s="153">
        <v>100</v>
      </c>
      <c r="AF139" s="153">
        <v>160</v>
      </c>
      <c r="AG139" s="153">
        <v>220</v>
      </c>
      <c r="AH139" s="153">
        <v>300</v>
      </c>
      <c r="AI139" s="154">
        <v>1010</v>
      </c>
      <c r="AJ139" s="154">
        <v>980</v>
      </c>
      <c r="AK139" s="154">
        <v>936</v>
      </c>
      <c r="AL139" s="154">
        <v>890</v>
      </c>
      <c r="AM139" s="154">
        <v>839</v>
      </c>
      <c r="AN139" s="154">
        <v>766</v>
      </c>
      <c r="AO139" s="155">
        <v>1.55</v>
      </c>
      <c r="AP139" s="155">
        <v>1.68</v>
      </c>
      <c r="AQ139" s="155">
        <v>1.88</v>
      </c>
      <c r="AR139" s="155">
        <v>2.08</v>
      </c>
      <c r="AS139" s="155">
        <v>2.29</v>
      </c>
      <c r="AT139" s="155">
        <v>2.55</v>
      </c>
      <c r="AU139" s="156">
        <v>0.134</v>
      </c>
      <c r="AV139" s="156">
        <v>0.129</v>
      </c>
      <c r="AW139" s="156">
        <v>0.122</v>
      </c>
      <c r="AX139" s="156">
        <v>0.115</v>
      </c>
      <c r="AY139" s="156">
        <v>0.109</v>
      </c>
      <c r="AZ139" s="156">
        <v>0.099</v>
      </c>
      <c r="BA139" s="157">
        <v>8.3</v>
      </c>
      <c r="BB139" s="157">
        <v>2.6</v>
      </c>
      <c r="BC139" s="157">
        <v>1.1</v>
      </c>
      <c r="BD139" s="157">
        <v>0.61</v>
      </c>
      <c r="BE139" s="157">
        <v>0.43</v>
      </c>
      <c r="BF139" s="157">
        <v>0.3</v>
      </c>
      <c r="BG139" s="158">
        <v>0</v>
      </c>
      <c r="BH139" s="158">
        <v>0</v>
      </c>
      <c r="BI139" s="158">
        <v>0</v>
      </c>
      <c r="BJ139" s="159" t="s">
        <v>336</v>
      </c>
      <c r="BK139" s="171"/>
    </row>
    <row r="140" spans="1:63" s="61" customFormat="1" ht="12.75" customHeight="1">
      <c r="A140" s="160" t="s">
        <v>337</v>
      </c>
      <c r="B140" s="161" t="s">
        <v>331</v>
      </c>
      <c r="C140" s="161" t="s">
        <v>338</v>
      </c>
      <c r="D140" s="161">
        <v>20</v>
      </c>
      <c r="E140" s="161">
        <v>300</v>
      </c>
      <c r="F140" s="161"/>
      <c r="G140" s="161" t="s">
        <v>196</v>
      </c>
      <c r="H140" s="161" t="s">
        <v>196</v>
      </c>
      <c r="I140" s="161" t="s">
        <v>196</v>
      </c>
      <c r="J140" s="161">
        <v>-4.370092182153382</v>
      </c>
      <c r="K140" s="161">
        <v>1719.2335934946618</v>
      </c>
      <c r="L140" s="161">
        <v>-67.86580530448086</v>
      </c>
      <c r="M140" s="161">
        <v>-0.6716684155299054</v>
      </c>
      <c r="N140" s="161">
        <v>890.128016789087</v>
      </c>
      <c r="O140" s="161">
        <v>-8.132214060860442E-05</v>
      </c>
      <c r="P140" s="161">
        <v>0.13678069254984263</v>
      </c>
      <c r="Q140" s="161">
        <v>0.0036652675760755517</v>
      </c>
      <c r="R140" s="162">
        <v>1.892413431269675</v>
      </c>
      <c r="S140" s="161">
        <v>180</v>
      </c>
      <c r="T140" s="161">
        <v>330</v>
      </c>
      <c r="U140" s="161"/>
      <c r="V140" s="162"/>
      <c r="W140" s="162"/>
      <c r="X140" s="51"/>
      <c r="Y140" s="51"/>
      <c r="Z140" s="51"/>
      <c r="AA140" s="51"/>
      <c r="AB140" s="51"/>
      <c r="AC140" s="152">
        <v>0</v>
      </c>
      <c r="AD140" s="153">
        <v>40</v>
      </c>
      <c r="AE140" s="153">
        <v>100</v>
      </c>
      <c r="AF140" s="153">
        <v>160</v>
      </c>
      <c r="AG140" s="153">
        <v>220</v>
      </c>
      <c r="AH140" s="153">
        <v>300</v>
      </c>
      <c r="AI140" s="154">
        <v>890</v>
      </c>
      <c r="AJ140" s="154">
        <v>863</v>
      </c>
      <c r="AK140" s="154">
        <v>823</v>
      </c>
      <c r="AL140" s="154">
        <v>783</v>
      </c>
      <c r="AM140" s="154">
        <v>743</v>
      </c>
      <c r="AN140" s="154">
        <v>688</v>
      </c>
      <c r="AO140" s="155">
        <v>1.89</v>
      </c>
      <c r="AP140" s="155">
        <v>2.04</v>
      </c>
      <c r="AQ140" s="155">
        <v>2.26</v>
      </c>
      <c r="AR140" s="155">
        <v>2.48</v>
      </c>
      <c r="AS140" s="155">
        <v>2.7</v>
      </c>
      <c r="AT140" s="155">
        <v>2.99</v>
      </c>
      <c r="AU140" s="156">
        <v>0.136</v>
      </c>
      <c r="AV140" s="156">
        <v>0.134</v>
      </c>
      <c r="AW140" s="156">
        <v>0.129</v>
      </c>
      <c r="AX140" s="156">
        <v>0.124</v>
      </c>
      <c r="AY140" s="156">
        <v>0.119</v>
      </c>
      <c r="AZ140" s="156">
        <v>0.112</v>
      </c>
      <c r="BA140" s="157">
        <v>123</v>
      </c>
      <c r="BB140" s="157">
        <v>14</v>
      </c>
      <c r="BC140" s="157">
        <v>3</v>
      </c>
      <c r="BD140" s="157">
        <v>1.4</v>
      </c>
      <c r="BE140" s="157">
        <v>0.73</v>
      </c>
      <c r="BF140" s="157">
        <v>0.38</v>
      </c>
      <c r="BG140" s="158">
        <v>0</v>
      </c>
      <c r="BH140" s="158">
        <v>0</v>
      </c>
      <c r="BI140" s="158">
        <v>0</v>
      </c>
      <c r="BJ140" s="159" t="s">
        <v>339</v>
      </c>
      <c r="BK140" s="171"/>
    </row>
    <row r="141" spans="1:63" s="61" customFormat="1" ht="12.75" customHeight="1">
      <c r="A141" s="160" t="s">
        <v>340</v>
      </c>
      <c r="B141" s="161" t="s">
        <v>331</v>
      </c>
      <c r="C141" s="161" t="s">
        <v>335</v>
      </c>
      <c r="D141" s="161">
        <v>20</v>
      </c>
      <c r="E141" s="161">
        <v>340</v>
      </c>
      <c r="F141" s="161"/>
      <c r="G141" s="161" t="s">
        <v>196</v>
      </c>
      <c r="H141" s="161" t="s">
        <v>196</v>
      </c>
      <c r="I141" s="161" t="s">
        <v>196</v>
      </c>
      <c r="J141" s="161">
        <v>-3.143841085367484</v>
      </c>
      <c r="K141" s="161">
        <v>1006.8453832204347</v>
      </c>
      <c r="L141" s="161">
        <v>-143.85266091872728</v>
      </c>
      <c r="M141" s="161">
        <v>-0.7143756558237147</v>
      </c>
      <c r="N141" s="161">
        <v>1058.2980062959077</v>
      </c>
      <c r="O141" s="161">
        <v>-0.0001309024134312697</v>
      </c>
      <c r="P141" s="161">
        <v>0.1330566631689402</v>
      </c>
      <c r="Q141" s="161">
        <v>0.0037061909758656867</v>
      </c>
      <c r="R141" s="162">
        <v>1.4768205666316894</v>
      </c>
      <c r="S141" s="161">
        <v>200</v>
      </c>
      <c r="T141" s="161">
        <v>385</v>
      </c>
      <c r="U141" s="161"/>
      <c r="V141" s="162"/>
      <c r="W141" s="162"/>
      <c r="X141" s="51"/>
      <c r="Y141" s="51"/>
      <c r="Z141" s="51"/>
      <c r="AA141" s="51"/>
      <c r="AB141" s="51"/>
      <c r="AC141" s="152">
        <v>0</v>
      </c>
      <c r="AD141" s="153">
        <v>40</v>
      </c>
      <c r="AE141" s="153">
        <v>100</v>
      </c>
      <c r="AF141" s="153">
        <v>160</v>
      </c>
      <c r="AG141" s="153">
        <v>220</v>
      </c>
      <c r="AH141" s="153">
        <v>300</v>
      </c>
      <c r="AI141" s="154">
        <v>1058</v>
      </c>
      <c r="AJ141" s="154">
        <v>1030</v>
      </c>
      <c r="AK141" s="154">
        <v>987</v>
      </c>
      <c r="AL141" s="154">
        <v>944</v>
      </c>
      <c r="AM141" s="154">
        <v>901</v>
      </c>
      <c r="AN141" s="154">
        <v>844</v>
      </c>
      <c r="AO141" s="155">
        <v>1.48</v>
      </c>
      <c r="AP141" s="155">
        <v>1.62</v>
      </c>
      <c r="AQ141" s="155">
        <v>1.85</v>
      </c>
      <c r="AR141" s="155">
        <v>2.07</v>
      </c>
      <c r="AS141" s="155">
        <v>2.29</v>
      </c>
      <c r="AT141" s="155">
        <v>2.59</v>
      </c>
      <c r="AU141" s="156">
        <v>0.133</v>
      </c>
      <c r="AV141" s="156">
        <v>0.128</v>
      </c>
      <c r="AW141" s="156">
        <v>0.12</v>
      </c>
      <c r="AX141" s="156">
        <v>0.112</v>
      </c>
      <c r="AY141" s="156">
        <v>0.104</v>
      </c>
      <c r="AZ141" s="156">
        <v>0.094</v>
      </c>
      <c r="BA141" s="157">
        <v>321</v>
      </c>
      <c r="BB141" s="157">
        <v>16.5</v>
      </c>
      <c r="BC141" s="157">
        <v>3.1</v>
      </c>
      <c r="BD141" s="157">
        <v>1.4</v>
      </c>
      <c r="BE141" s="157">
        <v>0.77</v>
      </c>
      <c r="BF141" s="157">
        <v>0.45</v>
      </c>
      <c r="BG141" s="158">
        <v>0</v>
      </c>
      <c r="BH141" s="158">
        <v>0</v>
      </c>
      <c r="BI141" s="158">
        <v>0</v>
      </c>
      <c r="BJ141" s="159" t="s">
        <v>341</v>
      </c>
      <c r="BK141" s="171"/>
    </row>
    <row r="142" spans="1:63" s="61" customFormat="1" ht="12.75" customHeight="1">
      <c r="A142" s="160" t="s">
        <v>99</v>
      </c>
      <c r="B142" s="161">
        <v>0</v>
      </c>
      <c r="C142" s="161" t="s">
        <v>469</v>
      </c>
      <c r="D142" s="161">
        <v>0</v>
      </c>
      <c r="E142" s="161">
        <v>0</v>
      </c>
      <c r="F142" s="161"/>
      <c r="G142" s="161">
        <v>7.9749040345535835</v>
      </c>
      <c r="H142" s="161">
        <v>1515.2929883384677</v>
      </c>
      <c r="I142" s="161">
        <v>232.9925144622153</v>
      </c>
      <c r="J142" s="161">
        <v>-3.7418665273232037</v>
      </c>
      <c r="K142" s="161">
        <v>790.3959928317888</v>
      </c>
      <c r="L142" s="161">
        <v>-48.52419165396427</v>
      </c>
      <c r="M142" s="161">
        <v>-0.925</v>
      </c>
      <c r="N142" s="161">
        <v>810.1833333333334</v>
      </c>
      <c r="O142" s="161">
        <v>0</v>
      </c>
      <c r="P142" s="161">
        <v>0.21461113999999995</v>
      </c>
      <c r="Q142" s="161">
        <v>0.004318385142857153</v>
      </c>
      <c r="R142" s="162">
        <v>2.4131120228571428</v>
      </c>
      <c r="S142" s="161">
        <v>12</v>
      </c>
      <c r="T142" s="161">
        <v>64.7</v>
      </c>
      <c r="U142" s="161"/>
      <c r="V142" s="162">
        <v>32.04</v>
      </c>
      <c r="W142" s="162">
        <v>1100</v>
      </c>
      <c r="X142" s="51"/>
      <c r="Y142" s="51"/>
      <c r="Z142" s="51"/>
      <c r="AA142" s="51"/>
      <c r="AB142" s="51"/>
      <c r="AC142" s="152">
        <v>-10</v>
      </c>
      <c r="AD142" s="153">
        <v>0</v>
      </c>
      <c r="AE142" s="153">
        <v>10</v>
      </c>
      <c r="AF142" s="153">
        <v>20</v>
      </c>
      <c r="AG142" s="153">
        <v>30</v>
      </c>
      <c r="AH142" s="153">
        <v>40</v>
      </c>
      <c r="AI142" s="154">
        <v>819.4333333333334</v>
      </c>
      <c r="AJ142" s="154">
        <v>810.1833333333334</v>
      </c>
      <c r="AK142" s="154">
        <v>800.9333333333334</v>
      </c>
      <c r="AL142" s="154">
        <v>791.6833333333334</v>
      </c>
      <c r="AM142" s="154">
        <v>782.4333333333334</v>
      </c>
      <c r="AN142" s="154">
        <v>773.1833333333334</v>
      </c>
      <c r="AO142" s="155">
        <v>2.3655419999999996</v>
      </c>
      <c r="AP142" s="155">
        <v>2.4199703999999995</v>
      </c>
      <c r="AQ142" s="155">
        <v>2.4618384</v>
      </c>
      <c r="AR142" s="155">
        <v>2.4869592</v>
      </c>
      <c r="AS142" s="155">
        <v>2.5455744</v>
      </c>
      <c r="AT142" s="155">
        <v>2.5874424</v>
      </c>
      <c r="AU142" s="156">
        <v>0.21461113999999998</v>
      </c>
      <c r="AV142" s="156">
        <v>0.21461113999999998</v>
      </c>
      <c r="AW142" s="156">
        <v>0.21461113999999998</v>
      </c>
      <c r="AX142" s="156">
        <v>0.21461113999999998</v>
      </c>
      <c r="AY142" s="156">
        <v>0.21461113999999998</v>
      </c>
      <c r="AZ142" s="156">
        <v>0.21461113999999998</v>
      </c>
      <c r="BA142" s="157">
        <v>0.92</v>
      </c>
      <c r="BB142" s="157">
        <v>0.8</v>
      </c>
      <c r="BC142" s="157">
        <v>0.69</v>
      </c>
      <c r="BD142" s="157">
        <v>0.6</v>
      </c>
      <c r="BE142" s="157">
        <v>0.52</v>
      </c>
      <c r="BF142" s="157">
        <v>0.47</v>
      </c>
      <c r="BG142" s="158">
        <v>29.6</v>
      </c>
      <c r="BH142" s="158">
        <v>96.7</v>
      </c>
      <c r="BI142" s="158">
        <v>265.6</v>
      </c>
      <c r="BJ142" s="159" t="s">
        <v>470</v>
      </c>
      <c r="BK142" s="171"/>
    </row>
    <row r="143" spans="1:63" s="61" customFormat="1" ht="12.75" customHeight="1">
      <c r="A143" s="160" t="s">
        <v>342</v>
      </c>
      <c r="B143" s="161" t="s">
        <v>343</v>
      </c>
      <c r="C143" s="161" t="s">
        <v>344</v>
      </c>
      <c r="D143" s="161">
        <v>-5</v>
      </c>
      <c r="E143" s="161">
        <v>260</v>
      </c>
      <c r="F143" s="161"/>
      <c r="G143" s="161" t="s">
        <v>196</v>
      </c>
      <c r="H143" s="161" t="s">
        <v>196</v>
      </c>
      <c r="I143" s="161" t="s">
        <v>196</v>
      </c>
      <c r="J143" s="161">
        <v>-3.7151520462296266</v>
      </c>
      <c r="K143" s="161">
        <v>1037.3866543079191</v>
      </c>
      <c r="L143" s="161">
        <v>-112.62403928045508</v>
      </c>
      <c r="M143" s="161">
        <v>-0.6544520547945205</v>
      </c>
      <c r="N143" s="161">
        <v>806.945205479452</v>
      </c>
      <c r="O143" s="161">
        <v>-6.178082191780824E-05</v>
      </c>
      <c r="P143" s="161">
        <v>0.14259474885844747</v>
      </c>
      <c r="Q143" s="161">
        <v>0.003810616438356165</v>
      </c>
      <c r="R143" s="162">
        <v>2.0241050228310504</v>
      </c>
      <c r="S143" s="161">
        <v>154</v>
      </c>
      <c r="T143" s="161">
        <v>338</v>
      </c>
      <c r="U143" s="161"/>
      <c r="V143" s="162"/>
      <c r="W143" s="162"/>
      <c r="X143" s="51"/>
      <c r="Y143" s="51"/>
      <c r="Z143" s="51"/>
      <c r="AA143" s="51"/>
      <c r="AB143" s="51"/>
      <c r="AC143" s="152">
        <v>-20</v>
      </c>
      <c r="AD143" s="153">
        <v>0</v>
      </c>
      <c r="AE143" s="153">
        <v>60</v>
      </c>
      <c r="AF143" s="153">
        <v>120</v>
      </c>
      <c r="AG143" s="153">
        <v>180</v>
      </c>
      <c r="AH143" s="153">
        <v>260</v>
      </c>
      <c r="AI143" s="154">
        <v>820</v>
      </c>
      <c r="AJ143" s="154">
        <v>807</v>
      </c>
      <c r="AK143" s="154">
        <v>768</v>
      </c>
      <c r="AL143" s="154">
        <v>728</v>
      </c>
      <c r="AM143" s="154">
        <v>689</v>
      </c>
      <c r="AN143" s="154">
        <v>637</v>
      </c>
      <c r="AO143" s="155">
        <v>1.948</v>
      </c>
      <c r="AP143" s="155">
        <v>2.024</v>
      </c>
      <c r="AQ143" s="155">
        <v>2.253</v>
      </c>
      <c r="AR143" s="155">
        <v>2.481</v>
      </c>
      <c r="AS143" s="155">
        <v>2.71</v>
      </c>
      <c r="AT143" s="155">
        <v>3.015</v>
      </c>
      <c r="AU143" s="156">
        <v>0.1438</v>
      </c>
      <c r="AV143" s="156">
        <v>0.1426</v>
      </c>
      <c r="AW143" s="156">
        <v>0.1389</v>
      </c>
      <c r="AX143" s="156">
        <v>0.1352</v>
      </c>
      <c r="AY143" s="156">
        <v>0.1315</v>
      </c>
      <c r="AZ143" s="156">
        <v>0.1265</v>
      </c>
      <c r="BA143" s="157">
        <v>45</v>
      </c>
      <c r="BB143" s="157">
        <v>15.6</v>
      </c>
      <c r="BC143" s="157">
        <v>2.49</v>
      </c>
      <c r="BD143" s="157">
        <v>0.983</v>
      </c>
      <c r="BE143" s="157">
        <v>0.529</v>
      </c>
      <c r="BF143" s="157">
        <v>0.287</v>
      </c>
      <c r="BG143" s="158">
        <v>0</v>
      </c>
      <c r="BH143" s="158">
        <v>0</v>
      </c>
      <c r="BI143" s="158">
        <v>0</v>
      </c>
      <c r="BJ143" s="159" t="s">
        <v>345</v>
      </c>
      <c r="BK143" s="171"/>
    </row>
    <row r="144" spans="1:63" s="61" customFormat="1" ht="12.75" customHeight="1">
      <c r="A144" s="160" t="s">
        <v>346</v>
      </c>
      <c r="B144" s="161" t="s">
        <v>343</v>
      </c>
      <c r="C144" s="161" t="s">
        <v>347</v>
      </c>
      <c r="D144" s="161">
        <v>-18</v>
      </c>
      <c r="E144" s="161">
        <v>260</v>
      </c>
      <c r="F144" s="161"/>
      <c r="G144" s="161">
        <v>7.515668958277612</v>
      </c>
      <c r="H144" s="161">
        <v>3644.8210250741495</v>
      </c>
      <c r="I144" s="161">
        <v>270.4466346549667</v>
      </c>
      <c r="J144" s="161">
        <v>-3.3434809014566595</v>
      </c>
      <c r="K144" s="161">
        <v>955.122738120087</v>
      </c>
      <c r="L144" s="161">
        <v>-161.06563828914946</v>
      </c>
      <c r="M144" s="161">
        <v>-0.6481440320071127</v>
      </c>
      <c r="N144" s="161">
        <v>921.0920945395272</v>
      </c>
      <c r="O144" s="161">
        <v>-7.201415129287992E-05</v>
      </c>
      <c r="P144" s="161">
        <v>0.12904704563977182</v>
      </c>
      <c r="Q144" s="161">
        <v>0.004336148773801586</v>
      </c>
      <c r="R144" s="162">
        <v>1.7236593317033417</v>
      </c>
      <c r="S144" s="161">
        <v>160</v>
      </c>
      <c r="T144" s="161">
        <v>271</v>
      </c>
      <c r="U144" s="161"/>
      <c r="V144" s="162"/>
      <c r="W144" s="162"/>
      <c r="X144" s="51"/>
      <c r="Y144" s="51"/>
      <c r="Z144" s="51"/>
      <c r="AA144" s="51"/>
      <c r="AB144" s="51"/>
      <c r="AC144" s="152">
        <v>-18</v>
      </c>
      <c r="AD144" s="153">
        <v>38</v>
      </c>
      <c r="AE144" s="153">
        <v>93</v>
      </c>
      <c r="AF144" s="153">
        <v>149</v>
      </c>
      <c r="AG144" s="153">
        <v>204</v>
      </c>
      <c r="AH144" s="153">
        <v>260</v>
      </c>
      <c r="AI144" s="154">
        <v>932</v>
      </c>
      <c r="AJ144" s="154">
        <v>897</v>
      </c>
      <c r="AK144" s="154">
        <v>861</v>
      </c>
      <c r="AL144" s="154">
        <v>825</v>
      </c>
      <c r="AM144" s="154">
        <v>789</v>
      </c>
      <c r="AN144" s="154">
        <v>752</v>
      </c>
      <c r="AO144" s="155">
        <v>1.63</v>
      </c>
      <c r="AP144" s="155">
        <v>1.88</v>
      </c>
      <c r="AQ144" s="155">
        <v>2.14</v>
      </c>
      <c r="AR144" s="155">
        <v>2.39</v>
      </c>
      <c r="AS144" s="155">
        <v>2.64</v>
      </c>
      <c r="AT144" s="155">
        <v>2.81</v>
      </c>
      <c r="AU144" s="156">
        <v>0.1303</v>
      </c>
      <c r="AV144" s="156">
        <v>0.1264</v>
      </c>
      <c r="AW144" s="156">
        <v>0.1223</v>
      </c>
      <c r="AX144" s="156">
        <v>0.1184</v>
      </c>
      <c r="AY144" s="156">
        <v>0.1142</v>
      </c>
      <c r="AZ144" s="156">
        <v>0.1104</v>
      </c>
      <c r="BA144" s="157">
        <v>1412</v>
      </c>
      <c r="BB144" s="157">
        <v>20.5</v>
      </c>
      <c r="BC144" s="157">
        <v>3.53</v>
      </c>
      <c r="BD144" s="157">
        <v>1.37</v>
      </c>
      <c r="BE144" s="157">
        <v>0.73</v>
      </c>
      <c r="BF144" s="157">
        <v>0.46</v>
      </c>
      <c r="BG144" s="158">
        <v>5E-05</v>
      </c>
      <c r="BH144" s="158">
        <v>0.067</v>
      </c>
      <c r="BI144" s="158">
        <v>4.41</v>
      </c>
      <c r="BJ144" s="159" t="s">
        <v>348</v>
      </c>
      <c r="BK144" s="171"/>
    </row>
    <row r="145" spans="1:63" s="61" customFormat="1" ht="12.75" customHeight="1">
      <c r="A145" s="160" t="s">
        <v>349</v>
      </c>
      <c r="B145" s="161" t="s">
        <v>343</v>
      </c>
      <c r="C145" s="161" t="s">
        <v>350</v>
      </c>
      <c r="D145" s="161">
        <v>-20</v>
      </c>
      <c r="E145" s="161">
        <v>288</v>
      </c>
      <c r="F145" s="161"/>
      <c r="G145" s="161" t="s">
        <v>196</v>
      </c>
      <c r="H145" s="161" t="s">
        <v>196</v>
      </c>
      <c r="I145" s="161" t="s">
        <v>196</v>
      </c>
      <c r="J145" s="161">
        <v>-2.890377166968214</v>
      </c>
      <c r="K145" s="161">
        <v>907.431382496828</v>
      </c>
      <c r="L145" s="161">
        <v>-174.35563959809588</v>
      </c>
      <c r="M145" s="161">
        <v>-0.5252838349252118</v>
      </c>
      <c r="N145" s="161">
        <v>871.656694899982</v>
      </c>
      <c r="O145" s="161">
        <v>-7.588214092629303E-05</v>
      </c>
      <c r="P145" s="161">
        <v>0.1399568390701027</v>
      </c>
      <c r="Q145" s="161">
        <v>0.003641539016038926</v>
      </c>
      <c r="R145" s="162">
        <v>1.8131948098756532</v>
      </c>
      <c r="S145" s="161">
        <v>228</v>
      </c>
      <c r="T145" s="161">
        <v>374</v>
      </c>
      <c r="U145" s="161"/>
      <c r="V145" s="162"/>
      <c r="W145" s="162"/>
      <c r="X145" s="51"/>
      <c r="Y145" s="51"/>
      <c r="Z145" s="51"/>
      <c r="AA145" s="51"/>
      <c r="AB145" s="51"/>
      <c r="AC145" s="152">
        <v>-20</v>
      </c>
      <c r="AD145" s="153">
        <v>-10</v>
      </c>
      <c r="AE145" s="153">
        <v>40</v>
      </c>
      <c r="AF145" s="153">
        <v>120</v>
      </c>
      <c r="AG145" s="153">
        <v>220</v>
      </c>
      <c r="AH145" s="153">
        <v>320</v>
      </c>
      <c r="AI145" s="154">
        <v>884</v>
      </c>
      <c r="AJ145" s="154">
        <v>879</v>
      </c>
      <c r="AK145" s="154">
        <v>850</v>
      </c>
      <c r="AL145" s="154">
        <v>805</v>
      </c>
      <c r="AM145" s="154">
        <v>752</v>
      </c>
      <c r="AN145" s="154">
        <v>708</v>
      </c>
      <c r="AO145" s="155">
        <v>1.742</v>
      </c>
      <c r="AP145" s="155">
        <v>1.777</v>
      </c>
      <c r="AQ145" s="155">
        <v>1.959</v>
      </c>
      <c r="AR145" s="155">
        <v>2.248</v>
      </c>
      <c r="AS145" s="155">
        <v>2.612</v>
      </c>
      <c r="AT145" s="155">
        <v>2.981</v>
      </c>
      <c r="AU145" s="156">
        <v>0.1416</v>
      </c>
      <c r="AV145" s="156">
        <v>0.1412</v>
      </c>
      <c r="AW145" s="156">
        <v>0.1359</v>
      </c>
      <c r="AX145" s="156">
        <v>0.1312</v>
      </c>
      <c r="AY145" s="156">
        <v>0.1234</v>
      </c>
      <c r="AZ145" s="156">
        <v>0.1156</v>
      </c>
      <c r="BA145" s="157">
        <v>2679</v>
      </c>
      <c r="BB145" s="157">
        <v>1524</v>
      </c>
      <c r="BC145" s="157">
        <v>33.94</v>
      </c>
      <c r="BD145" s="157">
        <v>3.515</v>
      </c>
      <c r="BE145" s="157">
        <v>1.002</v>
      </c>
      <c r="BF145" s="157">
        <v>0.485</v>
      </c>
      <c r="BG145" s="158">
        <v>0</v>
      </c>
      <c r="BH145" s="158">
        <v>0</v>
      </c>
      <c r="BI145" s="158">
        <v>0</v>
      </c>
      <c r="BJ145" s="159" t="s">
        <v>351</v>
      </c>
      <c r="BK145" s="171"/>
    </row>
    <row r="146" spans="1:63" s="61" customFormat="1" ht="12.75" customHeight="1">
      <c r="A146" s="160" t="s">
        <v>352</v>
      </c>
      <c r="B146" s="161" t="s">
        <v>343</v>
      </c>
      <c r="C146" s="161" t="s">
        <v>350</v>
      </c>
      <c r="D146" s="161">
        <v>-10</v>
      </c>
      <c r="E146" s="161">
        <v>316</v>
      </c>
      <c r="F146" s="161"/>
      <c r="G146" s="161" t="s">
        <v>196</v>
      </c>
      <c r="H146" s="161" t="s">
        <v>196</v>
      </c>
      <c r="I146" s="161" t="s">
        <v>196</v>
      </c>
      <c r="J146" s="161">
        <v>-3.2384292260809855</v>
      </c>
      <c r="K146" s="161">
        <v>1030.806139209147</v>
      </c>
      <c r="L146" s="161">
        <v>-162.58322649925935</v>
      </c>
      <c r="M146" s="161">
        <v>-0.7102096010818121</v>
      </c>
      <c r="N146" s="161">
        <v>877.6741041244084</v>
      </c>
      <c r="O146" s="161">
        <v>-7.317782285327924E-05</v>
      </c>
      <c r="P146" s="161">
        <v>0.13559878296146047</v>
      </c>
      <c r="Q146" s="161">
        <v>0.004547599729546992</v>
      </c>
      <c r="R146" s="162">
        <v>1.8635260311020962</v>
      </c>
      <c r="S146" s="161">
        <v>227</v>
      </c>
      <c r="T146" s="161">
        <v>411</v>
      </c>
      <c r="U146" s="161" t="s">
        <v>353</v>
      </c>
      <c r="V146" s="162"/>
      <c r="W146" s="162"/>
      <c r="X146" s="51"/>
      <c r="Y146" s="51"/>
      <c r="Z146" s="51"/>
      <c r="AA146" s="51"/>
      <c r="AB146" s="51"/>
      <c r="AC146" s="152">
        <v>-10</v>
      </c>
      <c r="AD146" s="153">
        <v>0</v>
      </c>
      <c r="AE146" s="153">
        <v>60</v>
      </c>
      <c r="AF146" s="153">
        <v>140</v>
      </c>
      <c r="AG146" s="153">
        <v>200</v>
      </c>
      <c r="AH146" s="153">
        <v>300</v>
      </c>
      <c r="AI146" s="154">
        <v>882</v>
      </c>
      <c r="AJ146" s="154">
        <v>875</v>
      </c>
      <c r="AK146" s="154">
        <v>837</v>
      </c>
      <c r="AL146" s="154">
        <v>783</v>
      </c>
      <c r="AM146" s="154">
        <v>740</v>
      </c>
      <c r="AN146" s="154">
        <v>659</v>
      </c>
      <c r="AO146" s="155">
        <v>1.818</v>
      </c>
      <c r="AP146" s="155">
        <v>1.864</v>
      </c>
      <c r="AQ146" s="155">
        <v>2.136</v>
      </c>
      <c r="AR146" s="155">
        <v>2.5</v>
      </c>
      <c r="AS146" s="155">
        <v>2.773</v>
      </c>
      <c r="AT146" s="155">
        <v>3.228</v>
      </c>
      <c r="AU146" s="156">
        <v>0.1363</v>
      </c>
      <c r="AV146" s="156">
        <v>0.1356</v>
      </c>
      <c r="AW146" s="156">
        <v>0.1312</v>
      </c>
      <c r="AX146" s="156">
        <v>0.1254</v>
      </c>
      <c r="AY146" s="156">
        <v>0.121</v>
      </c>
      <c r="AZ146" s="156">
        <v>0.1136</v>
      </c>
      <c r="BA146" s="157">
        <v>1121</v>
      </c>
      <c r="BB146" s="157">
        <v>439</v>
      </c>
      <c r="BC146" s="157">
        <v>15.6</v>
      </c>
      <c r="BD146" s="157">
        <v>2.4</v>
      </c>
      <c r="BE146" s="157">
        <v>1.13</v>
      </c>
      <c r="BF146" s="157">
        <v>0.483</v>
      </c>
      <c r="BG146" s="158">
        <v>0</v>
      </c>
      <c r="BH146" s="158">
        <v>0</v>
      </c>
      <c r="BI146" s="158">
        <v>0</v>
      </c>
      <c r="BJ146" s="159" t="s">
        <v>354</v>
      </c>
      <c r="BK146" s="171"/>
    </row>
    <row r="147" spans="1:63" s="61" customFormat="1" ht="12.75" customHeight="1">
      <c r="A147" s="160" t="s">
        <v>355</v>
      </c>
      <c r="B147" s="161" t="s">
        <v>343</v>
      </c>
      <c r="C147" s="161" t="s">
        <v>356</v>
      </c>
      <c r="D147" s="161">
        <v>0</v>
      </c>
      <c r="E147" s="161">
        <v>290</v>
      </c>
      <c r="F147" s="161"/>
      <c r="G147" s="161" t="s">
        <v>196</v>
      </c>
      <c r="H147" s="161" t="s">
        <v>196</v>
      </c>
      <c r="I147" s="161" t="s">
        <v>196</v>
      </c>
      <c r="J147" s="161">
        <v>-2.668447080114196</v>
      </c>
      <c r="K147" s="161">
        <v>863.5163864823788</v>
      </c>
      <c r="L147" s="161">
        <v>-172.93318534897762</v>
      </c>
      <c r="M147" s="161">
        <v>-0.5359790766431658</v>
      </c>
      <c r="N147" s="161">
        <v>871.6843302251535</v>
      </c>
      <c r="O147" s="161">
        <v>-3.6520354787355076E-05</v>
      </c>
      <c r="P147" s="161">
        <v>0.13951143961792134</v>
      </c>
      <c r="Q147" s="161">
        <v>0.0035631339549692985</v>
      </c>
      <c r="R147" s="162">
        <v>1.7942833750284282</v>
      </c>
      <c r="S147" s="161">
        <v>235</v>
      </c>
      <c r="T147" s="161">
        <v>373</v>
      </c>
      <c r="U147" s="161" t="s">
        <v>353</v>
      </c>
      <c r="V147" s="162"/>
      <c r="W147" s="162"/>
      <c r="X147" s="51"/>
      <c r="Y147" s="51"/>
      <c r="Z147" s="51"/>
      <c r="AA147" s="51"/>
      <c r="AB147" s="51"/>
      <c r="AC147" s="152">
        <v>-10</v>
      </c>
      <c r="AD147" s="153">
        <v>0</v>
      </c>
      <c r="AE147" s="153">
        <v>60</v>
      </c>
      <c r="AF147" s="153">
        <v>120</v>
      </c>
      <c r="AG147" s="153">
        <v>200</v>
      </c>
      <c r="AH147" s="153">
        <v>300</v>
      </c>
      <c r="AI147" s="154">
        <v>879</v>
      </c>
      <c r="AJ147" s="154">
        <v>872</v>
      </c>
      <c r="AK147" s="154">
        <v>839</v>
      </c>
      <c r="AL147" s="154">
        <v>805</v>
      </c>
      <c r="AM147" s="154">
        <v>763</v>
      </c>
      <c r="AN147" s="154">
        <v>713</v>
      </c>
      <c r="AO147" s="155">
        <v>1.777</v>
      </c>
      <c r="AP147" s="155">
        <v>1.813</v>
      </c>
      <c r="AQ147" s="155">
        <v>2.01</v>
      </c>
      <c r="AR147" s="155">
        <v>2.177</v>
      </c>
      <c r="AS147" s="155">
        <v>2.47</v>
      </c>
      <c r="AT147" s="155">
        <v>2.906</v>
      </c>
      <c r="AU147" s="156">
        <v>0.1412</v>
      </c>
      <c r="AV147" s="156">
        <v>0.1388</v>
      </c>
      <c r="AW147" s="156">
        <v>0.1365</v>
      </c>
      <c r="AX147" s="156">
        <v>0.1353</v>
      </c>
      <c r="AY147" s="156">
        <v>0.1319</v>
      </c>
      <c r="AZ147" s="156">
        <v>0.1289</v>
      </c>
      <c r="BA147" s="157">
        <v>1524</v>
      </c>
      <c r="BB147" s="157">
        <v>383</v>
      </c>
      <c r="BC147" s="157">
        <v>15.6</v>
      </c>
      <c r="BD147" s="157">
        <v>3.5</v>
      </c>
      <c r="BE147" s="157">
        <v>1.3</v>
      </c>
      <c r="BF147" s="157">
        <v>0.6</v>
      </c>
      <c r="BG147" s="158">
        <v>0</v>
      </c>
      <c r="BH147" s="158">
        <v>0</v>
      </c>
      <c r="BI147" s="158">
        <v>0</v>
      </c>
      <c r="BJ147" s="159" t="s">
        <v>357</v>
      </c>
      <c r="BK147" s="171"/>
    </row>
    <row r="148" spans="1:63" s="61" customFormat="1" ht="12.75" customHeight="1">
      <c r="A148" s="160" t="s">
        <v>358</v>
      </c>
      <c r="B148" s="161" t="s">
        <v>343</v>
      </c>
      <c r="C148" s="161" t="s">
        <v>359</v>
      </c>
      <c r="D148" s="161">
        <v>-20</v>
      </c>
      <c r="E148" s="161">
        <v>316</v>
      </c>
      <c r="F148" s="161"/>
      <c r="G148" s="161" t="s">
        <v>196</v>
      </c>
      <c r="H148" s="161" t="s">
        <v>196</v>
      </c>
      <c r="I148" s="161" t="s">
        <v>196</v>
      </c>
      <c r="J148" s="161">
        <v>-3.1587005685124394</v>
      </c>
      <c r="K148" s="161">
        <v>876.1353530778554</v>
      </c>
      <c r="L148" s="161">
        <v>-167.03076196028087</v>
      </c>
      <c r="M148" s="161">
        <v>-0.4203307935328005</v>
      </c>
      <c r="N148" s="161">
        <v>881.6658613640587</v>
      </c>
      <c r="O148" s="161">
        <v>-7.230812116706932E-05</v>
      </c>
      <c r="P148" s="161">
        <v>0.13442696524809514</v>
      </c>
      <c r="Q148" s="161">
        <v>0.003632856346404013</v>
      </c>
      <c r="R148" s="162">
        <v>1.8054357926036058</v>
      </c>
      <c r="S148" s="161">
        <v>171</v>
      </c>
      <c r="T148" s="161">
        <v>349</v>
      </c>
      <c r="U148" s="161" t="s">
        <v>353</v>
      </c>
      <c r="V148" s="162"/>
      <c r="W148" s="162"/>
      <c r="X148" s="51"/>
      <c r="Y148" s="51"/>
      <c r="Z148" s="51"/>
      <c r="AA148" s="51"/>
      <c r="AB148" s="51"/>
      <c r="AC148" s="152">
        <v>-30</v>
      </c>
      <c r="AD148" s="153">
        <v>-20</v>
      </c>
      <c r="AE148" s="153">
        <v>40</v>
      </c>
      <c r="AF148" s="153">
        <v>100</v>
      </c>
      <c r="AG148" s="153">
        <v>180</v>
      </c>
      <c r="AH148" s="153">
        <v>320</v>
      </c>
      <c r="AI148" s="154">
        <v>894</v>
      </c>
      <c r="AJ148" s="154">
        <v>890</v>
      </c>
      <c r="AK148" s="154">
        <v>865</v>
      </c>
      <c r="AL148" s="154">
        <v>840</v>
      </c>
      <c r="AM148" s="154">
        <v>806</v>
      </c>
      <c r="AN148" s="154">
        <v>747</v>
      </c>
      <c r="AO148" s="155">
        <v>1.696</v>
      </c>
      <c r="AP148" s="155">
        <v>1.733</v>
      </c>
      <c r="AQ148" s="155">
        <v>1.951</v>
      </c>
      <c r="AR148" s="155">
        <v>2.169</v>
      </c>
      <c r="AS148" s="155">
        <v>2.459</v>
      </c>
      <c r="AT148" s="155">
        <v>2.968</v>
      </c>
      <c r="AU148" s="156">
        <v>0.1366</v>
      </c>
      <c r="AV148" s="156">
        <v>0.1359</v>
      </c>
      <c r="AW148" s="156">
        <v>0.1315</v>
      </c>
      <c r="AX148" s="156">
        <v>0.1272</v>
      </c>
      <c r="AY148" s="156">
        <v>0.1214</v>
      </c>
      <c r="AZ148" s="156">
        <v>0.1113</v>
      </c>
      <c r="BA148" s="157">
        <v>4113</v>
      </c>
      <c r="BB148" s="157">
        <v>1113</v>
      </c>
      <c r="BC148" s="157">
        <v>16</v>
      </c>
      <c r="BD148" s="157">
        <v>2.98</v>
      </c>
      <c r="BE148" s="157">
        <v>0.975</v>
      </c>
      <c r="BF148" s="157">
        <v>0.332</v>
      </c>
      <c r="BG148" s="158">
        <v>0</v>
      </c>
      <c r="BH148" s="158">
        <v>0</v>
      </c>
      <c r="BI148" s="158">
        <v>0</v>
      </c>
      <c r="BJ148" s="159" t="s">
        <v>360</v>
      </c>
      <c r="BK148" s="171"/>
    </row>
    <row r="149" spans="1:63" s="61" customFormat="1" ht="12.75" customHeight="1">
      <c r="A149" s="160" t="s">
        <v>361</v>
      </c>
      <c r="B149" s="161" t="s">
        <v>343</v>
      </c>
      <c r="C149" s="161" t="s">
        <v>362</v>
      </c>
      <c r="D149" s="161">
        <v>-112</v>
      </c>
      <c r="E149" s="161">
        <v>38</v>
      </c>
      <c r="F149" s="161"/>
      <c r="G149" s="161" t="s">
        <v>196</v>
      </c>
      <c r="H149" s="161" t="s">
        <v>196</v>
      </c>
      <c r="I149" s="161" t="s">
        <v>196</v>
      </c>
      <c r="J149" s="161">
        <v>-1.6961783427990331</v>
      </c>
      <c r="K149" s="161">
        <v>283.95500199848806</v>
      </c>
      <c r="L149" s="161">
        <v>-121.54847078297091</v>
      </c>
      <c r="M149" s="161">
        <v>-0.7703999999999996</v>
      </c>
      <c r="N149" s="161">
        <v>860.46</v>
      </c>
      <c r="O149" s="161">
        <v>-0.00020000000000000004</v>
      </c>
      <c r="P149" s="161">
        <v>0.1377</v>
      </c>
      <c r="Q149" s="161">
        <v>0.0035023529411764703</v>
      </c>
      <c r="R149" s="162">
        <v>1.7249509803921568</v>
      </c>
      <c r="S149" s="161">
        <v>53</v>
      </c>
      <c r="T149" s="161">
        <v>176</v>
      </c>
      <c r="U149" s="161"/>
      <c r="V149" s="162"/>
      <c r="W149" s="162"/>
      <c r="X149" s="51"/>
      <c r="Y149" s="51"/>
      <c r="Z149" s="51"/>
      <c r="AA149" s="51"/>
      <c r="AB149" s="51"/>
      <c r="AC149" s="152">
        <v>-125</v>
      </c>
      <c r="AD149" s="153">
        <v>-100</v>
      </c>
      <c r="AE149" s="153">
        <v>-75</v>
      </c>
      <c r="AF149" s="153">
        <v>-50</v>
      </c>
      <c r="AG149" s="153">
        <v>0</v>
      </c>
      <c r="AH149" s="153">
        <v>50</v>
      </c>
      <c r="AI149" s="154">
        <v>956.76</v>
      </c>
      <c r="AJ149" s="154">
        <v>937.5</v>
      </c>
      <c r="AK149" s="154">
        <v>918.24</v>
      </c>
      <c r="AL149" s="154">
        <v>898.98</v>
      </c>
      <c r="AM149" s="154">
        <v>860.46</v>
      </c>
      <c r="AN149" s="154">
        <v>821.94</v>
      </c>
      <c r="AO149" s="155">
        <v>1.287</v>
      </c>
      <c r="AP149" s="155">
        <v>1.375</v>
      </c>
      <c r="AQ149" s="155">
        <v>1.462</v>
      </c>
      <c r="AR149" s="155">
        <v>1.55</v>
      </c>
      <c r="AS149" s="155">
        <v>1.725</v>
      </c>
      <c r="AT149" s="155">
        <v>1.9</v>
      </c>
      <c r="AU149" s="156">
        <v>0.1627</v>
      </c>
      <c r="AV149" s="156">
        <v>0.1577</v>
      </c>
      <c r="AW149" s="156">
        <v>0.1527</v>
      </c>
      <c r="AX149" s="156">
        <v>0.1477</v>
      </c>
      <c r="AY149" s="156">
        <v>0.1377</v>
      </c>
      <c r="AZ149" s="156">
        <v>0.1277</v>
      </c>
      <c r="BA149" s="157">
        <v>0</v>
      </c>
      <c r="BB149" s="157">
        <v>45</v>
      </c>
      <c r="BC149" s="157">
        <v>8</v>
      </c>
      <c r="BD149" s="157">
        <v>3</v>
      </c>
      <c r="BE149" s="157">
        <v>1.2</v>
      </c>
      <c r="BF149" s="157">
        <v>0.75</v>
      </c>
      <c r="BG149" s="158">
        <v>0</v>
      </c>
      <c r="BH149" s="158">
        <v>0</v>
      </c>
      <c r="BI149" s="158">
        <v>0</v>
      </c>
      <c r="BJ149" s="159" t="s">
        <v>363</v>
      </c>
      <c r="BK149" s="171"/>
    </row>
    <row r="150" spans="1:63" s="61" customFormat="1" ht="12.75" customHeight="1">
      <c r="A150" s="160" t="s">
        <v>364</v>
      </c>
      <c r="B150" s="161" t="s">
        <v>343</v>
      </c>
      <c r="C150" s="161" t="s">
        <v>365</v>
      </c>
      <c r="D150" s="161">
        <v>-10</v>
      </c>
      <c r="E150" s="161">
        <v>121</v>
      </c>
      <c r="F150" s="161"/>
      <c r="G150" s="161" t="s">
        <v>196</v>
      </c>
      <c r="H150" s="161" t="s">
        <v>196</v>
      </c>
      <c r="I150" s="161" t="s">
        <v>196</v>
      </c>
      <c r="J150" s="161">
        <v>-27.535130058418083</v>
      </c>
      <c r="K150" s="161">
        <v>49896.8760353319</v>
      </c>
      <c r="L150" s="161">
        <v>1485.761700465008</v>
      </c>
      <c r="M150" s="161">
        <v>-0.47945945945945945</v>
      </c>
      <c r="N150" s="161">
        <v>1200.6783783783783</v>
      </c>
      <c r="O150" s="161">
        <v>0.0009999999999999998</v>
      </c>
      <c r="P150" s="161">
        <v>0.5059999999999999</v>
      </c>
      <c r="Q150" s="161">
        <v>0.00252972972972973</v>
      </c>
      <c r="R150" s="162">
        <v>3.280477477477477</v>
      </c>
      <c r="S150" s="161"/>
      <c r="T150" s="161"/>
      <c r="U150" s="161"/>
      <c r="V150" s="162"/>
      <c r="W150" s="162"/>
      <c r="X150" s="51"/>
      <c r="Y150" s="51"/>
      <c r="Z150" s="51"/>
      <c r="AA150" s="51"/>
      <c r="AB150" s="51"/>
      <c r="AC150" s="152">
        <v>-10</v>
      </c>
      <c r="AD150" s="153">
        <v>0</v>
      </c>
      <c r="AE150" s="153">
        <v>25</v>
      </c>
      <c r="AF150" s="153">
        <v>50</v>
      </c>
      <c r="AG150" s="153">
        <v>75</v>
      </c>
      <c r="AH150" s="153">
        <v>100</v>
      </c>
      <c r="AI150" s="154">
        <v>1205</v>
      </c>
      <c r="AJ150" s="154">
        <v>1200</v>
      </c>
      <c r="AK150" s="154">
        <v>1190</v>
      </c>
      <c r="AL150" s="154">
        <v>1177</v>
      </c>
      <c r="AM150" s="154">
        <v>1165</v>
      </c>
      <c r="AN150" s="154">
        <v>1152</v>
      </c>
      <c r="AO150" s="155">
        <v>3.25</v>
      </c>
      <c r="AP150" s="155">
        <v>3.28</v>
      </c>
      <c r="AQ150" s="155">
        <v>3.35</v>
      </c>
      <c r="AR150" s="155">
        <v>3.41</v>
      </c>
      <c r="AS150" s="155">
        <v>3.47</v>
      </c>
      <c r="AT150" s="155">
        <v>3.53</v>
      </c>
      <c r="AU150" s="156">
        <v>0.496</v>
      </c>
      <c r="AV150" s="156">
        <v>0.506</v>
      </c>
      <c r="AW150" s="156">
        <v>0.531</v>
      </c>
      <c r="AX150" s="156">
        <v>0.556</v>
      </c>
      <c r="AY150" s="156">
        <v>0.581</v>
      </c>
      <c r="AZ150" s="156">
        <v>0.606</v>
      </c>
      <c r="BA150" s="157">
        <v>3</v>
      </c>
      <c r="BB150" s="157">
        <v>2.3</v>
      </c>
      <c r="BC150" s="157">
        <v>1.5</v>
      </c>
      <c r="BD150" s="157">
        <v>1.05</v>
      </c>
      <c r="BE150" s="157">
        <v>0.7</v>
      </c>
      <c r="BF150" s="157">
        <v>0.5</v>
      </c>
      <c r="BG150" s="158">
        <v>0</v>
      </c>
      <c r="BH150" s="158">
        <v>0</v>
      </c>
      <c r="BI150" s="158">
        <v>0</v>
      </c>
      <c r="BJ150" s="159" t="s">
        <v>366</v>
      </c>
      <c r="BK150" s="171"/>
    </row>
    <row r="151" spans="1:63" s="61" customFormat="1" ht="12.75" customHeight="1">
      <c r="A151" s="160" t="s">
        <v>367</v>
      </c>
      <c r="B151" s="161" t="s">
        <v>343</v>
      </c>
      <c r="C151" s="161" t="s">
        <v>365</v>
      </c>
      <c r="D151" s="161">
        <v>-30</v>
      </c>
      <c r="E151" s="161">
        <v>121</v>
      </c>
      <c r="F151" s="161"/>
      <c r="G151" s="161" t="s">
        <v>196</v>
      </c>
      <c r="H151" s="161" t="s">
        <v>196</v>
      </c>
      <c r="I151" s="161" t="s">
        <v>196</v>
      </c>
      <c r="J151" s="161">
        <v>-1.5497602245735325</v>
      </c>
      <c r="K151" s="161">
        <v>217.1210048703852</v>
      </c>
      <c r="L151" s="161">
        <v>-191.1671959251207</v>
      </c>
      <c r="M151" s="161">
        <v>-0.4982857142857143</v>
      </c>
      <c r="N151" s="161">
        <v>1285.352380952381</v>
      </c>
      <c r="O151" s="161">
        <v>0.0009999999999999998</v>
      </c>
      <c r="P151" s="161">
        <v>0.4989999999999999</v>
      </c>
      <c r="Q151" s="161">
        <v>0.002228571428571429</v>
      </c>
      <c r="R151" s="162">
        <v>3.0414285714285714</v>
      </c>
      <c r="S151" s="161"/>
      <c r="T151" s="161"/>
      <c r="U151" s="161"/>
      <c r="V151" s="162"/>
      <c r="W151" s="162"/>
      <c r="X151" s="51"/>
      <c r="Y151" s="51"/>
      <c r="Z151" s="51"/>
      <c r="AA151" s="51"/>
      <c r="AB151" s="51"/>
      <c r="AC151" s="152">
        <v>-25</v>
      </c>
      <c r="AD151" s="153">
        <v>0</v>
      </c>
      <c r="AE151" s="153">
        <v>25</v>
      </c>
      <c r="AF151" s="153">
        <v>50</v>
      </c>
      <c r="AG151" s="153">
        <v>75</v>
      </c>
      <c r="AH151" s="153">
        <v>100</v>
      </c>
      <c r="AI151" s="154">
        <v>1298</v>
      </c>
      <c r="AJ151" s="154">
        <v>1285</v>
      </c>
      <c r="AK151" s="154">
        <v>1273</v>
      </c>
      <c r="AL151" s="154">
        <v>1260</v>
      </c>
      <c r="AM151" s="154">
        <v>1249</v>
      </c>
      <c r="AN151" s="154">
        <v>1235</v>
      </c>
      <c r="AO151" s="155">
        <v>3</v>
      </c>
      <c r="AP151" s="155">
        <v>3.03</v>
      </c>
      <c r="AQ151" s="155">
        <v>3.09</v>
      </c>
      <c r="AR151" s="155">
        <v>3.15</v>
      </c>
      <c r="AS151" s="155">
        <v>3.21</v>
      </c>
      <c r="AT151" s="155">
        <v>3.27</v>
      </c>
      <c r="AU151" s="156">
        <v>0.474</v>
      </c>
      <c r="AV151" s="156">
        <v>0.499</v>
      </c>
      <c r="AW151" s="156">
        <v>0.524</v>
      </c>
      <c r="AX151" s="156">
        <v>0.549</v>
      </c>
      <c r="AY151" s="156">
        <v>0.574</v>
      </c>
      <c r="AZ151" s="156">
        <v>0.599</v>
      </c>
      <c r="BA151" s="157">
        <v>10</v>
      </c>
      <c r="BB151" s="157">
        <v>3</v>
      </c>
      <c r="BC151" s="157">
        <v>1.9</v>
      </c>
      <c r="BD151" s="157">
        <v>1.1</v>
      </c>
      <c r="BE151" s="157">
        <v>0.9</v>
      </c>
      <c r="BF151" s="157">
        <v>0.7</v>
      </c>
      <c r="BG151" s="158">
        <v>0</v>
      </c>
      <c r="BH151" s="158">
        <v>0</v>
      </c>
      <c r="BI151" s="158">
        <v>0</v>
      </c>
      <c r="BJ151" s="159" t="s">
        <v>366</v>
      </c>
      <c r="BK151" s="171"/>
    </row>
    <row r="152" spans="1:63" s="61" customFormat="1" ht="12.75" customHeight="1">
      <c r="A152" s="160" t="s">
        <v>368</v>
      </c>
      <c r="B152" s="161" t="s">
        <v>343</v>
      </c>
      <c r="C152" s="161" t="s">
        <v>365</v>
      </c>
      <c r="D152" s="161">
        <v>-40</v>
      </c>
      <c r="E152" s="161">
        <v>121</v>
      </c>
      <c r="F152" s="161"/>
      <c r="G152" s="161" t="s">
        <v>196</v>
      </c>
      <c r="H152" s="161" t="s">
        <v>196</v>
      </c>
      <c r="I152" s="161" t="s">
        <v>196</v>
      </c>
      <c r="J152" s="161">
        <v>-1.1973003154632962</v>
      </c>
      <c r="K152" s="161">
        <v>266.8391188841354</v>
      </c>
      <c r="L152" s="161">
        <v>-166.71571847353806</v>
      </c>
      <c r="M152" s="161">
        <v>-0.57375</v>
      </c>
      <c r="N152" s="161">
        <v>1325.51875</v>
      </c>
      <c r="O152" s="161">
        <v>0.0010793749999999998</v>
      </c>
      <c r="P152" s="161">
        <v>0.486378125</v>
      </c>
      <c r="Q152" s="161">
        <v>0.0021950000000000003</v>
      </c>
      <c r="R152" s="162">
        <v>2.891425</v>
      </c>
      <c r="S152" s="161"/>
      <c r="T152" s="161"/>
      <c r="U152" s="161"/>
      <c r="V152" s="162"/>
      <c r="W152" s="162"/>
      <c r="X152" s="51"/>
      <c r="Y152" s="51"/>
      <c r="Z152" s="51"/>
      <c r="AA152" s="51"/>
      <c r="AB152" s="51"/>
      <c r="AC152" s="152">
        <v>-40</v>
      </c>
      <c r="AD152" s="153">
        <v>-25</v>
      </c>
      <c r="AE152" s="153">
        <v>0</v>
      </c>
      <c r="AF152" s="153">
        <v>25</v>
      </c>
      <c r="AG152" s="153">
        <v>50</v>
      </c>
      <c r="AH152" s="153">
        <v>100</v>
      </c>
      <c r="AI152" s="154">
        <v>1350</v>
      </c>
      <c r="AJ152" s="154">
        <v>1340</v>
      </c>
      <c r="AK152" s="154">
        <v>1325</v>
      </c>
      <c r="AL152" s="154">
        <v>1310</v>
      </c>
      <c r="AM152" s="154">
        <v>1295</v>
      </c>
      <c r="AN152" s="154">
        <v>1270</v>
      </c>
      <c r="AO152" s="155">
        <v>2.8</v>
      </c>
      <c r="AP152" s="155">
        <v>2.84</v>
      </c>
      <c r="AQ152" s="155">
        <v>2.89</v>
      </c>
      <c r="AR152" s="155">
        <v>2.95</v>
      </c>
      <c r="AS152" s="155">
        <v>3</v>
      </c>
      <c r="AT152" s="155">
        <v>3.11</v>
      </c>
      <c r="AU152" s="156">
        <v>0.437</v>
      </c>
      <c r="AV152" s="156">
        <v>0.463</v>
      </c>
      <c r="AW152" s="156">
        <v>0.489</v>
      </c>
      <c r="AX152" s="156">
        <v>0.515</v>
      </c>
      <c r="AY152" s="156">
        <v>0.541</v>
      </c>
      <c r="AZ152" s="156">
        <v>0.592</v>
      </c>
      <c r="BA152" s="157">
        <v>15</v>
      </c>
      <c r="BB152" s="157">
        <v>8</v>
      </c>
      <c r="BC152" s="157">
        <v>4</v>
      </c>
      <c r="BD152" s="157">
        <v>2.3</v>
      </c>
      <c r="BE152" s="157">
        <v>1.7</v>
      </c>
      <c r="BF152" s="157">
        <v>1.1</v>
      </c>
      <c r="BG152" s="158">
        <v>0</v>
      </c>
      <c r="BH152" s="158">
        <v>0</v>
      </c>
      <c r="BI152" s="158">
        <v>0</v>
      </c>
      <c r="BJ152" s="159" t="s">
        <v>366</v>
      </c>
      <c r="BK152" s="171"/>
    </row>
    <row r="153" spans="1:63" s="61" customFormat="1" ht="12.75" customHeight="1">
      <c r="A153" s="160" t="s">
        <v>369</v>
      </c>
      <c r="B153" s="161" t="s">
        <v>343</v>
      </c>
      <c r="C153" s="161" t="s">
        <v>365</v>
      </c>
      <c r="D153" s="161">
        <v>-20</v>
      </c>
      <c r="E153" s="161">
        <v>121</v>
      </c>
      <c r="F153" s="161"/>
      <c r="G153" s="161" t="s">
        <v>196</v>
      </c>
      <c r="H153" s="161" t="s">
        <v>196</v>
      </c>
      <c r="I153" s="161" t="s">
        <v>196</v>
      </c>
      <c r="J153" s="161">
        <v>-1.0665068990365036</v>
      </c>
      <c r="K153" s="161">
        <v>193.5885812879379</v>
      </c>
      <c r="L153" s="161">
        <v>-191.63351711289596</v>
      </c>
      <c r="M153" s="161">
        <v>-0.5280645161290323</v>
      </c>
      <c r="N153" s="161">
        <v>1249.5758064516128</v>
      </c>
      <c r="O153" s="161">
        <v>0.001</v>
      </c>
      <c r="P153" s="161">
        <v>0.505</v>
      </c>
      <c r="Q153" s="161">
        <v>0.002267741935483873</v>
      </c>
      <c r="R153" s="162">
        <v>3.181403225806452</v>
      </c>
      <c r="S153" s="161"/>
      <c r="T153" s="161"/>
      <c r="U153" s="161"/>
      <c r="V153" s="162"/>
      <c r="W153" s="162"/>
      <c r="X153" s="51"/>
      <c r="Y153" s="51"/>
      <c r="Z153" s="51"/>
      <c r="AA153" s="51"/>
      <c r="AB153" s="51"/>
      <c r="AC153" s="152">
        <v>-20</v>
      </c>
      <c r="AD153" s="153">
        <v>0</v>
      </c>
      <c r="AE153" s="153">
        <v>25</v>
      </c>
      <c r="AF153" s="153">
        <v>50</v>
      </c>
      <c r="AG153" s="153">
        <v>75</v>
      </c>
      <c r="AH153" s="153">
        <v>100</v>
      </c>
      <c r="AI153" s="154">
        <v>1258</v>
      </c>
      <c r="AJ153" s="154">
        <v>1249</v>
      </c>
      <c r="AK153" s="154">
        <v>1240</v>
      </c>
      <c r="AL153" s="154">
        <v>1224</v>
      </c>
      <c r="AM153" s="154">
        <v>1210</v>
      </c>
      <c r="AN153" s="154">
        <v>1195</v>
      </c>
      <c r="AO153" s="155">
        <v>3.13</v>
      </c>
      <c r="AP153" s="155">
        <v>3.19</v>
      </c>
      <c r="AQ153" s="155">
        <v>3.24</v>
      </c>
      <c r="AR153" s="155">
        <v>3.29</v>
      </c>
      <c r="AS153" s="155">
        <v>3.35</v>
      </c>
      <c r="AT153" s="155">
        <v>3.41</v>
      </c>
      <c r="AU153" s="156">
        <v>0.485</v>
      </c>
      <c r="AV153" s="156">
        <v>0.505</v>
      </c>
      <c r="AW153" s="156">
        <v>0.53</v>
      </c>
      <c r="AX153" s="156">
        <v>0.555</v>
      </c>
      <c r="AY153" s="156">
        <v>0.58</v>
      </c>
      <c r="AZ153" s="156">
        <v>0.605</v>
      </c>
      <c r="BA153" s="157">
        <v>5</v>
      </c>
      <c r="BB153" s="157">
        <v>3.7</v>
      </c>
      <c r="BC153" s="157">
        <v>2.2</v>
      </c>
      <c r="BD153" s="157">
        <v>1.5</v>
      </c>
      <c r="BE153" s="157">
        <v>1.2</v>
      </c>
      <c r="BF153" s="157">
        <v>1</v>
      </c>
      <c r="BG153" s="158">
        <v>0</v>
      </c>
      <c r="BH153" s="158">
        <v>0</v>
      </c>
      <c r="BI153" s="158">
        <v>0</v>
      </c>
      <c r="BJ153" s="159" t="s">
        <v>366</v>
      </c>
      <c r="BK153" s="171"/>
    </row>
    <row r="154" spans="1:63" s="61" customFormat="1" ht="12.75" customHeight="1">
      <c r="A154" s="160" t="s">
        <v>370</v>
      </c>
      <c r="B154" s="161" t="s">
        <v>343</v>
      </c>
      <c r="C154" s="161" t="s">
        <v>365</v>
      </c>
      <c r="D154" s="161">
        <v>-50</v>
      </c>
      <c r="E154" s="161">
        <v>121</v>
      </c>
      <c r="F154" s="161"/>
      <c r="G154" s="161" t="s">
        <v>196</v>
      </c>
      <c r="H154" s="161" t="s">
        <v>196</v>
      </c>
      <c r="I154" s="161" t="s">
        <v>196</v>
      </c>
      <c r="J154" s="161">
        <v>-2.019543965501345</v>
      </c>
      <c r="K154" s="161">
        <v>517.6446588780334</v>
      </c>
      <c r="L154" s="161">
        <v>-128.383872734417</v>
      </c>
      <c r="M154" s="161">
        <v>-0.6</v>
      </c>
      <c r="N154" s="161">
        <v>1365</v>
      </c>
      <c r="O154" s="161">
        <v>0.0010325714285714285</v>
      </c>
      <c r="P154" s="161">
        <v>0.4844571428571428</v>
      </c>
      <c r="Q154" s="161">
        <v>0.0020800000000000007</v>
      </c>
      <c r="R154" s="162">
        <v>2.662</v>
      </c>
      <c r="S154" s="161"/>
      <c r="T154" s="161"/>
      <c r="U154" s="161"/>
      <c r="V154" s="162"/>
      <c r="W154" s="162"/>
      <c r="X154" s="51"/>
      <c r="Y154" s="51"/>
      <c r="Z154" s="51"/>
      <c r="AA154" s="51"/>
      <c r="AB154" s="51"/>
      <c r="AC154" s="152">
        <v>-50</v>
      </c>
      <c r="AD154" s="153">
        <v>-25</v>
      </c>
      <c r="AE154" s="153">
        <v>0</v>
      </c>
      <c r="AF154" s="153">
        <v>25</v>
      </c>
      <c r="AG154" s="153">
        <v>50</v>
      </c>
      <c r="AH154" s="153">
        <v>100</v>
      </c>
      <c r="AI154" s="154">
        <v>1395</v>
      </c>
      <c r="AJ154" s="154">
        <v>1380</v>
      </c>
      <c r="AK154" s="154">
        <v>1365</v>
      </c>
      <c r="AL154" s="154">
        <v>1350</v>
      </c>
      <c r="AM154" s="154">
        <v>1335</v>
      </c>
      <c r="AN154" s="154">
        <v>1305</v>
      </c>
      <c r="AO154" s="155">
        <v>2.56</v>
      </c>
      <c r="AP154" s="155">
        <v>2.61</v>
      </c>
      <c r="AQ154" s="155">
        <v>2.66</v>
      </c>
      <c r="AR154" s="155">
        <v>2.71</v>
      </c>
      <c r="AS154" s="155">
        <v>2.77</v>
      </c>
      <c r="AT154" s="155">
        <v>2.87</v>
      </c>
      <c r="AU154" s="156">
        <v>0.433</v>
      </c>
      <c r="AV154" s="156">
        <v>0.459</v>
      </c>
      <c r="AW154" s="156">
        <v>0.484</v>
      </c>
      <c r="AX154" s="156">
        <v>0.51</v>
      </c>
      <c r="AY154" s="156">
        <v>0.536</v>
      </c>
      <c r="AZ154" s="156">
        <v>0.588</v>
      </c>
      <c r="BA154" s="157">
        <v>40</v>
      </c>
      <c r="BB154" s="157">
        <v>10</v>
      </c>
      <c r="BC154" s="157">
        <v>4.5</v>
      </c>
      <c r="BD154" s="157">
        <v>2.8</v>
      </c>
      <c r="BE154" s="157">
        <v>2</v>
      </c>
      <c r="BF154" s="157">
        <v>1.1</v>
      </c>
      <c r="BG154" s="158">
        <v>0</v>
      </c>
      <c r="BH154" s="158">
        <v>0</v>
      </c>
      <c r="BI154" s="158">
        <v>0</v>
      </c>
      <c r="BJ154" s="159" t="s">
        <v>366</v>
      </c>
      <c r="BK154" s="171"/>
    </row>
    <row r="155" spans="1:63" s="61" customFormat="1" ht="12.75" customHeight="1">
      <c r="A155" s="160" t="s">
        <v>647</v>
      </c>
      <c r="B155" s="161">
        <v>0</v>
      </c>
      <c r="C155" s="161" t="s">
        <v>469</v>
      </c>
      <c r="D155" s="161">
        <v>0</v>
      </c>
      <c r="E155" s="161">
        <v>0</v>
      </c>
      <c r="F155" s="161"/>
      <c r="G155" s="161">
        <v>7.095764550177389</v>
      </c>
      <c r="H155" s="161">
        <v>1455.313737313395</v>
      </c>
      <c r="I155" s="161">
        <v>219.70325236474275</v>
      </c>
      <c r="J155" s="161">
        <v>-6.833946483766774</v>
      </c>
      <c r="K155" s="161">
        <v>3563.9671054222845</v>
      </c>
      <c r="L155" s="161">
        <v>276.84758894962766</v>
      </c>
      <c r="M155" s="161">
        <v>-0.8369326112664697</v>
      </c>
      <c r="N155" s="161">
        <v>718.2330700896913</v>
      </c>
      <c r="O155" s="161">
        <v>-0.000310323647</v>
      </c>
      <c r="P155" s="161">
        <v>0.13641828321930832</v>
      </c>
      <c r="Q155" s="161">
        <v>0.002863944283046379</v>
      </c>
      <c r="R155" s="162">
        <v>2.1660968914991643</v>
      </c>
      <c r="S155" s="161">
        <v>13.333333333333332</v>
      </c>
      <c r="T155" s="161">
        <v>125.66666666666666</v>
      </c>
      <c r="U155" s="161"/>
      <c r="V155" s="162">
        <v>114.231</v>
      </c>
      <c r="W155" s="162">
        <v>302.38</v>
      </c>
      <c r="X155" s="51"/>
      <c r="Y155" s="51"/>
      <c r="Z155" s="51"/>
      <c r="AA155" s="51"/>
      <c r="AB155" s="51"/>
      <c r="AC155" s="152">
        <v>-20</v>
      </c>
      <c r="AD155" s="153">
        <v>20</v>
      </c>
      <c r="AE155" s="153">
        <v>60</v>
      </c>
      <c r="AF155" s="153">
        <v>100</v>
      </c>
      <c r="AG155" s="153">
        <v>120</v>
      </c>
      <c r="AH155" s="153">
        <v>140</v>
      </c>
      <c r="AI155" s="154">
        <v>732.519128169923</v>
      </c>
      <c r="AJ155" s="154">
        <v>702.5186185803447</v>
      </c>
      <c r="AK155" s="154">
        <v>670.5873998047717</v>
      </c>
      <c r="AL155" s="154">
        <v>636.1610249273693</v>
      </c>
      <c r="AM155" s="154">
        <v>617.7531281096738</v>
      </c>
      <c r="AN155" s="154">
        <v>598.3474242141475</v>
      </c>
      <c r="AO155" s="155">
        <v>2.128493789555656</v>
      </c>
      <c r="AP155" s="155">
        <v>2.2182231955936844</v>
      </c>
      <c r="AQ155" s="155">
        <v>2.3152483235986043</v>
      </c>
      <c r="AR155" s="155">
        <v>2.435186874544758</v>
      </c>
      <c r="AS155" s="155">
        <v>2.508629215175278</v>
      </c>
      <c r="AT155" s="155">
        <v>2.593656549406484</v>
      </c>
      <c r="AU155" s="156">
        <v>0.14198014282597501</v>
      </c>
      <c r="AV155" s="156">
        <v>0.130534116945975</v>
      </c>
      <c r="AW155" s="156">
        <v>0.11844908306597503</v>
      </c>
      <c r="AX155" s="156">
        <v>0.105725041185975</v>
      </c>
      <c r="AY155" s="156">
        <v>0.09912339224597501</v>
      </c>
      <c r="AZ155" s="156">
        <v>0.092361991305975</v>
      </c>
      <c r="BA155" s="157">
        <v>1.0076474559080861</v>
      </c>
      <c r="BB155" s="157">
        <v>0.5591451571434347</v>
      </c>
      <c r="BC155" s="157">
        <v>0.36574699327658383</v>
      </c>
      <c r="BD155" s="157">
        <v>0.25900709355297696</v>
      </c>
      <c r="BE155" s="157">
        <v>0.2207328318992633</v>
      </c>
      <c r="BF155" s="157">
        <v>0.18848087857265342</v>
      </c>
      <c r="BG155" s="158">
        <v>10.579141944556135</v>
      </c>
      <c r="BH155" s="158">
        <v>349.69370529031386</v>
      </c>
      <c r="BI155" s="158">
        <v>1121.7378696559106</v>
      </c>
      <c r="BJ155" s="159" t="s">
        <v>656</v>
      </c>
      <c r="BK155" s="171"/>
    </row>
    <row r="156" spans="1:63" s="61" customFormat="1" ht="12.75" customHeight="1">
      <c r="A156" s="160" t="s">
        <v>371</v>
      </c>
      <c r="B156" s="161" t="s">
        <v>372</v>
      </c>
      <c r="C156" s="161" t="s">
        <v>373</v>
      </c>
      <c r="D156" s="161">
        <v>-95.55555555555556</v>
      </c>
      <c r="E156" s="161">
        <v>218.33333333333331</v>
      </c>
      <c r="F156" s="161"/>
      <c r="G156" s="161">
        <v>5.9220060342913925</v>
      </c>
      <c r="H156" s="161">
        <v>1219.8379871879572</v>
      </c>
      <c r="I156" s="161">
        <v>210.05572317476094</v>
      </c>
      <c r="J156" s="161">
        <v>-2.7848390112664156</v>
      </c>
      <c r="K156" s="161">
        <v>568.8910799622124</v>
      </c>
      <c r="L156" s="161">
        <v>-70.82081737246646</v>
      </c>
      <c r="M156" s="161">
        <v>-1.0081615864526947</v>
      </c>
      <c r="N156" s="161">
        <v>848.2870219874812</v>
      </c>
      <c r="O156" s="161">
        <v>-7.652128710179639E-05</v>
      </c>
      <c r="P156" s="161">
        <v>0.14164255094187625</v>
      </c>
      <c r="Q156" s="161">
        <v>0.003717397043353295</v>
      </c>
      <c r="R156" s="162">
        <v>1.8463344750754496</v>
      </c>
      <c r="S156" s="161">
        <v>40</v>
      </c>
      <c r="T156" s="161">
        <v>180</v>
      </c>
      <c r="U156" s="161"/>
      <c r="V156" s="162"/>
      <c r="W156" s="162"/>
      <c r="X156" s="51"/>
      <c r="Y156" s="51"/>
      <c r="Z156" s="51"/>
      <c r="AA156" s="51"/>
      <c r="AB156" s="51"/>
      <c r="AC156" s="152">
        <v>-101.11111111111111</v>
      </c>
      <c r="AD156" s="153">
        <v>-73.33333333333333</v>
      </c>
      <c r="AE156" s="153">
        <v>-17.77777777777778</v>
      </c>
      <c r="AF156" s="153">
        <v>37.77777777777778</v>
      </c>
      <c r="AG156" s="153">
        <v>93.33333333333333</v>
      </c>
      <c r="AH156" s="153">
        <v>204.44444444444443</v>
      </c>
      <c r="AI156" s="154">
        <v>950.2150472000001</v>
      </c>
      <c r="AJ156" s="154">
        <v>922.1827422000001</v>
      </c>
      <c r="AK156" s="154">
        <v>866.2783168000001</v>
      </c>
      <c r="AL156" s="154">
        <v>810.2137068000001</v>
      </c>
      <c r="AM156" s="154">
        <v>754.1490968</v>
      </c>
      <c r="AN156" s="154">
        <v>642.1800614000001</v>
      </c>
      <c r="AO156" s="155">
        <v>1.47040416</v>
      </c>
      <c r="AP156" s="155">
        <v>1.57381812</v>
      </c>
      <c r="AQ156" s="155">
        <v>1.78022736</v>
      </c>
      <c r="AR156" s="155">
        <v>1.9866365999999998</v>
      </c>
      <c r="AS156" s="155">
        <v>2.19346452</v>
      </c>
      <c r="AT156" s="155">
        <v>2.6062830000000003</v>
      </c>
      <c r="AU156" s="156">
        <v>0.1493624305</v>
      </c>
      <c r="AV156" s="156">
        <v>0.14728554849999997</v>
      </c>
      <c r="AW156" s="156">
        <v>0.1427856375</v>
      </c>
      <c r="AX156" s="156">
        <v>0.13880494699999998</v>
      </c>
      <c r="AY156" s="156">
        <v>0.1348242565</v>
      </c>
      <c r="AZ156" s="156">
        <v>0.1258244345</v>
      </c>
      <c r="BA156" s="157">
        <v>36</v>
      </c>
      <c r="BB156" s="157">
        <v>5.08</v>
      </c>
      <c r="BC156" s="157">
        <v>1.58</v>
      </c>
      <c r="BD156" s="157">
        <v>0.66</v>
      </c>
      <c r="BE156" s="157">
        <v>0.42</v>
      </c>
      <c r="BF156" s="157">
        <v>0.25</v>
      </c>
      <c r="BG156" s="158">
        <v>0.001</v>
      </c>
      <c r="BH156" s="158">
        <v>10</v>
      </c>
      <c r="BI156" s="158">
        <v>953</v>
      </c>
      <c r="BJ156" s="159" t="s">
        <v>374</v>
      </c>
      <c r="BK156" s="171"/>
    </row>
    <row r="157" spans="1:63" s="61" customFormat="1" ht="12.75" customHeight="1">
      <c r="A157" s="160" t="s">
        <v>375</v>
      </c>
      <c r="B157" s="161" t="s">
        <v>372</v>
      </c>
      <c r="C157" s="161" t="s">
        <v>376</v>
      </c>
      <c r="D157" s="161">
        <v>35</v>
      </c>
      <c r="E157" s="161">
        <v>301.6666666666667</v>
      </c>
      <c r="F157" s="161"/>
      <c r="G157" s="161">
        <v>8.357881973881575</v>
      </c>
      <c r="H157" s="161">
        <v>3690.191937546719</v>
      </c>
      <c r="I157" s="161">
        <v>318.4911917713929</v>
      </c>
      <c r="J157" s="161">
        <v>-3.7742916312916037</v>
      </c>
      <c r="K157" s="161">
        <v>1137.4461378687245</v>
      </c>
      <c r="L157" s="161">
        <v>-140.25957273173918</v>
      </c>
      <c r="M157" s="161">
        <v>-0.6956497354728768</v>
      </c>
      <c r="N157" s="161">
        <v>892.8100910809429</v>
      </c>
      <c r="O157" s="161">
        <v>-0.0001412999383981823</v>
      </c>
      <c r="P157" s="161">
        <v>0.13285792329338256</v>
      </c>
      <c r="Q157" s="161">
        <v>0.0032052028969042873</v>
      </c>
      <c r="R157" s="162">
        <v>1.8740478284578244</v>
      </c>
      <c r="S157" s="161">
        <v>182</v>
      </c>
      <c r="T157" s="161">
        <v>500</v>
      </c>
      <c r="U157" s="161"/>
      <c r="V157" s="162"/>
      <c r="W157" s="162"/>
      <c r="X157" s="51"/>
      <c r="Y157" s="51"/>
      <c r="Z157" s="51"/>
      <c r="AA157" s="51"/>
      <c r="AB157" s="51"/>
      <c r="AC157" s="152">
        <v>-6.666666666666666</v>
      </c>
      <c r="AD157" s="153">
        <v>37.77777777777778</v>
      </c>
      <c r="AE157" s="153">
        <v>93.33333333333333</v>
      </c>
      <c r="AF157" s="153">
        <v>148.88888888888889</v>
      </c>
      <c r="AG157" s="153">
        <v>226.66666666666666</v>
      </c>
      <c r="AH157" s="153">
        <v>315.55555555555554</v>
      </c>
      <c r="AI157" s="154">
        <v>897.03376</v>
      </c>
      <c r="AJ157" s="154">
        <v>864.99684</v>
      </c>
      <c r="AK157" s="154">
        <v>832.95992</v>
      </c>
      <c r="AL157" s="154">
        <v>784.90454</v>
      </c>
      <c r="AM157" s="154">
        <v>736.8491600000001</v>
      </c>
      <c r="AN157" s="154">
        <v>672.7753200000001</v>
      </c>
      <c r="AO157" s="155">
        <v>1.842192</v>
      </c>
      <c r="AP157" s="155">
        <v>2.009664</v>
      </c>
      <c r="AQ157" s="155">
        <v>2.177136</v>
      </c>
      <c r="AR157" s="155">
        <v>2.344608</v>
      </c>
      <c r="AS157" s="155">
        <v>2.5958159999999997</v>
      </c>
      <c r="AT157" s="155">
        <v>2.888892</v>
      </c>
      <c r="AU157" s="156">
        <v>0.133266595</v>
      </c>
      <c r="AV157" s="156">
        <v>0.12807438999999998</v>
      </c>
      <c r="AW157" s="156">
        <v>0.11942071500000001</v>
      </c>
      <c r="AX157" s="156">
        <v>0.112497775</v>
      </c>
      <c r="AY157" s="156">
        <v>0.10038263</v>
      </c>
      <c r="AZ157" s="156">
        <v>0.08826748499999999</v>
      </c>
      <c r="BA157" s="157">
        <v>254</v>
      </c>
      <c r="BB157" s="157">
        <v>18</v>
      </c>
      <c r="BC157" s="157">
        <v>3.2</v>
      </c>
      <c r="BD157" s="157">
        <v>1.3</v>
      </c>
      <c r="BE157" s="157">
        <v>0.58</v>
      </c>
      <c r="BF157" s="157">
        <v>0.29</v>
      </c>
      <c r="BG157" s="158">
        <v>0.01</v>
      </c>
      <c r="BH157" s="158">
        <v>2.9</v>
      </c>
      <c r="BI157" s="158">
        <v>345</v>
      </c>
      <c r="BJ157" s="159" t="s">
        <v>377</v>
      </c>
      <c r="BK157" s="171"/>
    </row>
    <row r="158" spans="1:63" s="61" customFormat="1" ht="12.75" customHeight="1">
      <c r="A158" s="160" t="s">
        <v>378</v>
      </c>
      <c r="B158" s="161" t="s">
        <v>372</v>
      </c>
      <c r="C158" s="161" t="s">
        <v>379</v>
      </c>
      <c r="D158" s="161">
        <v>52.77777777777778</v>
      </c>
      <c r="E158" s="161">
        <v>310</v>
      </c>
      <c r="F158" s="161"/>
      <c r="G158" s="161">
        <v>-4.598595808227458</v>
      </c>
      <c r="H158" s="161">
        <v>1009.0386768869664</v>
      </c>
      <c r="I158" s="161">
        <v>-476.95504589752994</v>
      </c>
      <c r="J158" s="161">
        <v>-3.1958726922864367</v>
      </c>
      <c r="K158" s="161">
        <v>1055.906811462605</v>
      </c>
      <c r="L158" s="161">
        <v>-156.10758159632488</v>
      </c>
      <c r="M158" s="161">
        <v>-0.6412784594308699</v>
      </c>
      <c r="N158" s="161">
        <v>875.9410700464587</v>
      </c>
      <c r="O158" s="161">
        <v>-7.54451637132694E-05</v>
      </c>
      <c r="P158" s="161">
        <v>0.13425308718329723</v>
      </c>
      <c r="Q158" s="161">
        <v>0.0036466497041756883</v>
      </c>
      <c r="R158" s="162">
        <v>1.8114233324169504</v>
      </c>
      <c r="S158" s="161">
        <v>221</v>
      </c>
      <c r="T158" s="161">
        <v>500</v>
      </c>
      <c r="U158" s="161" t="s">
        <v>353</v>
      </c>
      <c r="V158" s="162"/>
      <c r="W158" s="162"/>
      <c r="X158" s="51"/>
      <c r="Y158" s="51"/>
      <c r="Z158" s="51"/>
      <c r="AA158" s="51"/>
      <c r="AB158" s="51"/>
      <c r="AC158" s="152">
        <v>15.555555555555555</v>
      </c>
      <c r="AD158" s="153">
        <v>37.77777777777778</v>
      </c>
      <c r="AE158" s="153">
        <v>93.33333333333333</v>
      </c>
      <c r="AF158" s="153">
        <v>148.88888888888889</v>
      </c>
      <c r="AG158" s="153">
        <v>226.66666666666666</v>
      </c>
      <c r="AH158" s="153">
        <v>315.55555555555554</v>
      </c>
      <c r="AI158" s="154">
        <v>865.9579476000001</v>
      </c>
      <c r="AJ158" s="154">
        <v>851.7015182000001</v>
      </c>
      <c r="AK158" s="154">
        <v>816.1405370000001</v>
      </c>
      <c r="AL158" s="154">
        <v>780.4193712</v>
      </c>
      <c r="AM158" s="154">
        <v>730.6019606</v>
      </c>
      <c r="AN158" s="154">
        <v>673.576243</v>
      </c>
      <c r="AO158" s="155">
        <v>1.86815016</v>
      </c>
      <c r="AP158" s="155">
        <v>1.94937408</v>
      </c>
      <c r="AQ158" s="155">
        <v>2.15159652</v>
      </c>
      <c r="AR158" s="155">
        <v>2.35423764</v>
      </c>
      <c r="AS158" s="155">
        <v>2.63810268</v>
      </c>
      <c r="AT158" s="155">
        <v>2.962161</v>
      </c>
      <c r="AU158" s="156">
        <v>0.13309352149999998</v>
      </c>
      <c r="AV158" s="156">
        <v>0.1313627865</v>
      </c>
      <c r="AW158" s="156">
        <v>0.1272090225</v>
      </c>
      <c r="AX158" s="156">
        <v>0.12305525849999999</v>
      </c>
      <c r="AY158" s="156">
        <v>0.11717075949999999</v>
      </c>
      <c r="AZ158" s="156">
        <v>0.11042089299999999</v>
      </c>
      <c r="BA158" s="157">
        <v>126</v>
      </c>
      <c r="BB158" s="157">
        <v>37.5</v>
      </c>
      <c r="BC158" s="157">
        <v>6.01</v>
      </c>
      <c r="BD158" s="157">
        <v>2.17</v>
      </c>
      <c r="BE158" s="157">
        <v>0.94</v>
      </c>
      <c r="BF158" s="157">
        <v>0.47</v>
      </c>
      <c r="BG158" s="158">
        <v>0.005</v>
      </c>
      <c r="BH158" s="158">
        <v>0.03</v>
      </c>
      <c r="BI158" s="158">
        <v>45</v>
      </c>
      <c r="BJ158" s="159" t="s">
        <v>380</v>
      </c>
      <c r="BK158" s="171"/>
    </row>
    <row r="159" spans="1:63" s="61" customFormat="1" ht="12.75" customHeight="1">
      <c r="A159" s="160" t="s">
        <v>381</v>
      </c>
      <c r="B159" s="161" t="s">
        <v>372</v>
      </c>
      <c r="C159" s="161" t="s">
        <v>382</v>
      </c>
      <c r="D159" s="161">
        <v>25</v>
      </c>
      <c r="E159" s="161">
        <v>357.22222222222223</v>
      </c>
      <c r="F159" s="161"/>
      <c r="G159" s="161">
        <v>19.176387321363595</v>
      </c>
      <c r="H159" s="161">
        <v>25786.049544034482</v>
      </c>
      <c r="I159" s="161">
        <v>1240.253275716677</v>
      </c>
      <c r="J159" s="161">
        <v>-3.7334017703431437</v>
      </c>
      <c r="K159" s="161">
        <v>1159.4195915576336</v>
      </c>
      <c r="L159" s="161">
        <v>-121.82919335108394</v>
      </c>
      <c r="M159" s="161">
        <v>-0.7665129748148148</v>
      </c>
      <c r="N159" s="161">
        <v>971.0799153448561</v>
      </c>
      <c r="O159" s="161">
        <v>-9.948521185185186E-05</v>
      </c>
      <c r="P159" s="161">
        <v>0.12234572837366255</v>
      </c>
      <c r="Q159" s="161">
        <v>0.002220554666666667</v>
      </c>
      <c r="R159" s="162">
        <v>1.8994150459259258</v>
      </c>
      <c r="S159" s="161">
        <v>160</v>
      </c>
      <c r="T159" s="161">
        <v>335</v>
      </c>
      <c r="U159" s="161"/>
      <c r="V159" s="162"/>
      <c r="W159" s="162"/>
      <c r="X159" s="51"/>
      <c r="Y159" s="51"/>
      <c r="Z159" s="51"/>
      <c r="AA159" s="51"/>
      <c r="AB159" s="51"/>
      <c r="AC159" s="152">
        <v>10</v>
      </c>
      <c r="AD159" s="153">
        <v>37.77777777777778</v>
      </c>
      <c r="AE159" s="153">
        <v>121.11111111111111</v>
      </c>
      <c r="AF159" s="153">
        <v>176.66666666666666</v>
      </c>
      <c r="AG159" s="153">
        <v>260</v>
      </c>
      <c r="AH159" s="153">
        <v>371.1111111111111</v>
      </c>
      <c r="AI159" s="154">
        <v>961.1076</v>
      </c>
      <c r="AJ159" s="154">
        <v>945.08914</v>
      </c>
      <c r="AK159" s="154">
        <v>881.0153</v>
      </c>
      <c r="AL159" s="154">
        <v>832.95992</v>
      </c>
      <c r="AM159" s="154">
        <v>768.88608</v>
      </c>
      <c r="AN159" s="154">
        <v>688.7937800000001</v>
      </c>
      <c r="AO159" s="155">
        <v>1.925928</v>
      </c>
      <c r="AP159" s="155">
        <v>1.9677959999999999</v>
      </c>
      <c r="AQ159" s="155">
        <v>2.177136</v>
      </c>
      <c r="AR159" s="155">
        <v>2.30274</v>
      </c>
      <c r="AS159" s="155">
        <v>2.4702119999999996</v>
      </c>
      <c r="AT159" s="155">
        <v>2.72142</v>
      </c>
      <c r="AU159" s="156">
        <v>0.11768998</v>
      </c>
      <c r="AV159" s="156">
        <v>0.11768998</v>
      </c>
      <c r="AW159" s="156">
        <v>0.112497775</v>
      </c>
      <c r="AX159" s="156">
        <v>0.109036305</v>
      </c>
      <c r="AY159" s="156">
        <v>0.098651895</v>
      </c>
      <c r="AZ159" s="156">
        <v>0.08134454499999999</v>
      </c>
      <c r="BA159" s="157">
        <v>50</v>
      </c>
      <c r="BB159" s="157">
        <v>11</v>
      </c>
      <c r="BC159" s="157">
        <v>1.5</v>
      </c>
      <c r="BD159" s="157">
        <v>0.82</v>
      </c>
      <c r="BE159" s="157">
        <v>0.42</v>
      </c>
      <c r="BF159" s="157">
        <v>0.22</v>
      </c>
      <c r="BG159" s="158">
        <v>0.1</v>
      </c>
      <c r="BH159" s="158">
        <v>9.5</v>
      </c>
      <c r="BI159" s="158">
        <v>1492</v>
      </c>
      <c r="BJ159" s="159" t="s">
        <v>383</v>
      </c>
      <c r="BK159" s="171"/>
    </row>
    <row r="160" spans="1:63" s="61" customFormat="1" ht="12.75" customHeight="1">
      <c r="A160" s="160" t="s">
        <v>384</v>
      </c>
      <c r="B160" s="161" t="s">
        <v>372</v>
      </c>
      <c r="C160" s="161" t="s">
        <v>385</v>
      </c>
      <c r="D160" s="161">
        <v>-49.44444444444444</v>
      </c>
      <c r="E160" s="161">
        <v>248.88888888888889</v>
      </c>
      <c r="F160" s="161"/>
      <c r="G160" s="161">
        <v>7.498946283298883</v>
      </c>
      <c r="H160" s="161">
        <v>2118.740943777693</v>
      </c>
      <c r="I160" s="161">
        <v>241.8051037319872</v>
      </c>
      <c r="J160" s="161">
        <v>-4.051321426246713</v>
      </c>
      <c r="K160" s="161">
        <v>992.5831924108232</v>
      </c>
      <c r="L160" s="161">
        <v>-80.56014325073672</v>
      </c>
      <c r="M160" s="161">
        <v>-0.7377493171970211</v>
      </c>
      <c r="N160" s="161">
        <v>777.6370539907019</v>
      </c>
      <c r="O160" s="161">
        <v>-7.741553047393369E-05</v>
      </c>
      <c r="P160" s="161">
        <v>0.15263589838530808</v>
      </c>
      <c r="Q160" s="161">
        <v>0.0038739947325660113</v>
      </c>
      <c r="R160" s="162">
        <v>1.9247940395666894</v>
      </c>
      <c r="S160" s="161">
        <v>54</v>
      </c>
      <c r="T160" s="161">
        <v>200</v>
      </c>
      <c r="U160" s="161"/>
      <c r="V160" s="162"/>
      <c r="W160" s="162"/>
      <c r="X160" s="51"/>
      <c r="Y160" s="51"/>
      <c r="Z160" s="51"/>
      <c r="AA160" s="51"/>
      <c r="AB160" s="51"/>
      <c r="AC160" s="152">
        <v>-73.33333333333333</v>
      </c>
      <c r="AD160" s="153">
        <v>-40</v>
      </c>
      <c r="AE160" s="153">
        <v>15.555555555555555</v>
      </c>
      <c r="AF160" s="153">
        <v>93.33333333333333</v>
      </c>
      <c r="AG160" s="153">
        <v>148.88888888888889</v>
      </c>
      <c r="AH160" s="153">
        <v>232.22222222222223</v>
      </c>
      <c r="AI160" s="154">
        <v>831.8386278</v>
      </c>
      <c r="AJ160" s="154">
        <v>807.0100148000001</v>
      </c>
      <c r="AK160" s="154">
        <v>766.1629418</v>
      </c>
      <c r="AL160" s="154">
        <v>708.816855</v>
      </c>
      <c r="AM160" s="154">
        <v>667.8095974</v>
      </c>
      <c r="AN160" s="154">
        <v>606.298711</v>
      </c>
      <c r="AO160" s="155">
        <v>1.64080692</v>
      </c>
      <c r="AP160" s="155">
        <v>1.76976036</v>
      </c>
      <c r="AQ160" s="155">
        <v>1.98496188</v>
      </c>
      <c r="AR160" s="155">
        <v>2.28641148</v>
      </c>
      <c r="AS160" s="155">
        <v>2.501613</v>
      </c>
      <c r="AT160" s="155">
        <v>2.8244152799999998</v>
      </c>
      <c r="AU160" s="156">
        <v>0.1583622525</v>
      </c>
      <c r="AV160" s="156">
        <v>0.1559392235</v>
      </c>
      <c r="AW160" s="156">
        <v>0.150920092</v>
      </c>
      <c r="AX160" s="156">
        <v>0.145727887</v>
      </c>
      <c r="AY160" s="156">
        <v>0.1410549025</v>
      </c>
      <c r="AZ160" s="156">
        <v>0.13465118299999998</v>
      </c>
      <c r="BA160" s="157">
        <v>138.19</v>
      </c>
      <c r="BB160" s="157">
        <v>11.63</v>
      </c>
      <c r="BC160" s="157">
        <v>1.83</v>
      </c>
      <c r="BD160" s="157">
        <v>0.56</v>
      </c>
      <c r="BE160" s="157">
        <v>0.32</v>
      </c>
      <c r="BF160" s="157">
        <v>0.18</v>
      </c>
      <c r="BG160" s="158">
        <v>0.001</v>
      </c>
      <c r="BH160" s="158">
        <v>15.03</v>
      </c>
      <c r="BI160" s="158">
        <v>1069.76</v>
      </c>
      <c r="BJ160" s="159" t="s">
        <v>386</v>
      </c>
      <c r="BK160" s="171"/>
    </row>
    <row r="161" spans="1:63" s="61" customFormat="1" ht="12.75" customHeight="1">
      <c r="A161" s="160" t="s">
        <v>387</v>
      </c>
      <c r="B161" s="161" t="s">
        <v>372</v>
      </c>
      <c r="C161" s="161" t="s">
        <v>388</v>
      </c>
      <c r="D161" s="161">
        <v>2.2222222222222223</v>
      </c>
      <c r="E161" s="161">
        <v>304.44444444444446</v>
      </c>
      <c r="F161" s="161"/>
      <c r="G161" s="161">
        <v>15.567324253439137</v>
      </c>
      <c r="H161" s="161">
        <v>14491.944295597637</v>
      </c>
      <c r="I161" s="161">
        <v>814.9374854432122</v>
      </c>
      <c r="J161" s="161">
        <v>-2.995078934172529</v>
      </c>
      <c r="K161" s="161">
        <v>757.8405526580759</v>
      </c>
      <c r="L161" s="161">
        <v>-148.64126304790764</v>
      </c>
      <c r="M161" s="161">
        <v>-0.5630500733954886</v>
      </c>
      <c r="N161" s="161">
        <v>809.5163136362106</v>
      </c>
      <c r="O161" s="161">
        <v>-8.535516550375936E-05</v>
      </c>
      <c r="P161" s="161">
        <v>0.13505708590315788</v>
      </c>
      <c r="Q161" s="161">
        <v>0.0020285518195488727</v>
      </c>
      <c r="R161" s="162">
        <v>2.3337663915789473</v>
      </c>
      <c r="S161" s="161">
        <v>149</v>
      </c>
      <c r="T161" s="161">
        <v>400</v>
      </c>
      <c r="U161" s="161"/>
      <c r="V161" s="162"/>
      <c r="W161" s="162"/>
      <c r="X161" s="51"/>
      <c r="Y161" s="51"/>
      <c r="Z161" s="51"/>
      <c r="AA161" s="51"/>
      <c r="AB161" s="51"/>
      <c r="AC161" s="152">
        <v>-17.77777777777778</v>
      </c>
      <c r="AD161" s="153">
        <v>10</v>
      </c>
      <c r="AE161" s="153">
        <v>65.55555555555556</v>
      </c>
      <c r="AF161" s="153">
        <v>148.88888888888889</v>
      </c>
      <c r="AG161" s="153">
        <v>232.22222222222223</v>
      </c>
      <c r="AH161" s="153">
        <v>315.55555555555554</v>
      </c>
      <c r="AI161" s="154">
        <v>840.96915</v>
      </c>
      <c r="AJ161" s="154">
        <v>810.534076</v>
      </c>
      <c r="AK161" s="154">
        <v>756.0713120000001</v>
      </c>
      <c r="AL161" s="154">
        <v>700.0067020000001</v>
      </c>
      <c r="AM161" s="154">
        <v>669.571628</v>
      </c>
      <c r="AN161" s="154">
        <v>655.155014</v>
      </c>
      <c r="AO161" s="155">
        <v>2.30274</v>
      </c>
      <c r="AP161" s="155">
        <v>2.344608</v>
      </c>
      <c r="AQ161" s="155">
        <v>2.4702119999999996</v>
      </c>
      <c r="AR161" s="155">
        <v>2.637684</v>
      </c>
      <c r="AS161" s="155">
        <v>2.805156</v>
      </c>
      <c r="AT161" s="155">
        <v>2.972628</v>
      </c>
      <c r="AU161" s="156">
        <v>0.133266595</v>
      </c>
      <c r="AV161" s="156">
        <v>0.133266595</v>
      </c>
      <c r="AW161" s="156">
        <v>0.13153585999999998</v>
      </c>
      <c r="AX161" s="156">
        <v>0.126343655</v>
      </c>
      <c r="AY161" s="156">
        <v>0.11768998</v>
      </c>
      <c r="AZ161" s="156">
        <v>0.1038441</v>
      </c>
      <c r="BA161" s="157">
        <v>60</v>
      </c>
      <c r="BB161" s="157">
        <v>14</v>
      </c>
      <c r="BC161" s="157">
        <v>2.9</v>
      </c>
      <c r="BD161" s="157">
        <v>0.8</v>
      </c>
      <c r="BE161" s="157">
        <v>0.39</v>
      </c>
      <c r="BF161" s="157">
        <v>0.28</v>
      </c>
      <c r="BG161" s="158">
        <v>0.01</v>
      </c>
      <c r="BH161" s="158">
        <v>3.4</v>
      </c>
      <c r="BI161" s="158">
        <v>560</v>
      </c>
      <c r="BJ161" s="159" t="s">
        <v>389</v>
      </c>
      <c r="BK161" s="171"/>
    </row>
    <row r="162" spans="1:63" s="61" customFormat="1" ht="12.75" customHeight="1">
      <c r="A162" s="160" t="s">
        <v>390</v>
      </c>
      <c r="B162" s="161" t="s">
        <v>372</v>
      </c>
      <c r="C162" s="161" t="s">
        <v>391</v>
      </c>
      <c r="D162" s="161">
        <v>-3.888888888888889</v>
      </c>
      <c r="E162" s="161">
        <v>248.88888888888889</v>
      </c>
      <c r="F162" s="161"/>
      <c r="G162" s="161" t="s">
        <v>196</v>
      </c>
      <c r="H162" s="161" t="s">
        <v>196</v>
      </c>
      <c r="I162" s="161" t="s">
        <v>196</v>
      </c>
      <c r="J162" s="161">
        <v>-2.797790875168655</v>
      </c>
      <c r="K162" s="161">
        <v>620.4391947331433</v>
      </c>
      <c r="L162" s="161">
        <v>-163.73570570589416</v>
      </c>
      <c r="M162" s="161">
        <v>-0.7393446674526312</v>
      </c>
      <c r="N162" s="161">
        <v>816.4099843587369</v>
      </c>
      <c r="O162" s="161">
        <v>-5.5092027789473604E-05</v>
      </c>
      <c r="P162" s="161">
        <v>0.13418188054105262</v>
      </c>
      <c r="Q162" s="161">
        <v>0.0019197579789473694</v>
      </c>
      <c r="R162" s="162">
        <v>2.338631893894737</v>
      </c>
      <c r="S162" s="161">
        <v>135</v>
      </c>
      <c r="T162" s="161">
        <v>500</v>
      </c>
      <c r="U162" s="161"/>
      <c r="V162" s="162"/>
      <c r="W162" s="162"/>
      <c r="X162" s="51"/>
      <c r="Y162" s="51"/>
      <c r="Z162" s="51"/>
      <c r="AA162" s="51"/>
      <c r="AB162" s="51"/>
      <c r="AC162" s="152">
        <v>-17.77777777777778</v>
      </c>
      <c r="AD162" s="153">
        <v>10</v>
      </c>
      <c r="AE162" s="153">
        <v>37.77777777777778</v>
      </c>
      <c r="AF162" s="153">
        <v>93.33333333333333</v>
      </c>
      <c r="AG162" s="153">
        <v>148.88888888888889</v>
      </c>
      <c r="AH162" s="153">
        <v>204.44444444444443</v>
      </c>
      <c r="AI162" s="154">
        <v>840.96915</v>
      </c>
      <c r="AJ162" s="154">
        <v>810.534076</v>
      </c>
      <c r="AK162" s="154">
        <v>781.700848</v>
      </c>
      <c r="AL162" s="154">
        <v>735.2473140000001</v>
      </c>
      <c r="AM162" s="154">
        <v>700.0067020000001</v>
      </c>
      <c r="AN162" s="154">
        <v>677.580858</v>
      </c>
      <c r="AO162" s="155">
        <v>2.30274</v>
      </c>
      <c r="AP162" s="155">
        <v>2.344608</v>
      </c>
      <c r="AQ162" s="155">
        <v>2.4283439999999996</v>
      </c>
      <c r="AR162" s="155">
        <v>2.5120799999999996</v>
      </c>
      <c r="AS162" s="155">
        <v>2.637684</v>
      </c>
      <c r="AT162" s="155">
        <v>2.72142</v>
      </c>
      <c r="AU162" s="156">
        <v>0.133266595</v>
      </c>
      <c r="AV162" s="156">
        <v>0.133266595</v>
      </c>
      <c r="AW162" s="156">
        <v>0.133266595</v>
      </c>
      <c r="AX162" s="156">
        <v>0.13153585999999998</v>
      </c>
      <c r="AY162" s="156">
        <v>0.126343655</v>
      </c>
      <c r="AZ162" s="156">
        <v>0.12115145000000001</v>
      </c>
      <c r="BA162" s="157">
        <v>40</v>
      </c>
      <c r="BB162" s="157">
        <v>11</v>
      </c>
      <c r="BC162" s="157">
        <v>4.3</v>
      </c>
      <c r="BD162" s="157">
        <v>1.3</v>
      </c>
      <c r="BE162" s="157">
        <v>0.66</v>
      </c>
      <c r="BF162" s="157">
        <v>0.44</v>
      </c>
      <c r="BG162" s="158">
        <v>0</v>
      </c>
      <c r="BH162" s="158">
        <v>0</v>
      </c>
      <c r="BI162" s="158">
        <v>0</v>
      </c>
      <c r="BJ162" s="159" t="s">
        <v>392</v>
      </c>
      <c r="BK162" s="171"/>
    </row>
    <row r="163" spans="1:63" s="61" customFormat="1" ht="12.75" customHeight="1">
      <c r="A163" s="160" t="s">
        <v>393</v>
      </c>
      <c r="B163" s="161" t="s">
        <v>372</v>
      </c>
      <c r="C163" s="161" t="s">
        <v>394</v>
      </c>
      <c r="D163" s="161">
        <v>35.55555555555556</v>
      </c>
      <c r="E163" s="161">
        <v>332.22222222222223</v>
      </c>
      <c r="F163" s="161"/>
      <c r="G163" s="161">
        <v>3.518231204390859</v>
      </c>
      <c r="H163" s="161">
        <v>568.508019289879</v>
      </c>
      <c r="I163" s="161">
        <v>65.24581768837754</v>
      </c>
      <c r="J163" s="161">
        <v>-11.04292183572451</v>
      </c>
      <c r="K163" s="161">
        <v>7675.283643313505</v>
      </c>
      <c r="L163" s="161">
        <v>244.62777777777853</v>
      </c>
      <c r="M163" s="161">
        <v>-0.6627338973134326</v>
      </c>
      <c r="N163" s="161">
        <v>897.7318779582089</v>
      </c>
      <c r="O163" s="161">
        <v>-5.091460723880597E-05</v>
      </c>
      <c r="P163" s="161">
        <v>0.10576108275149254</v>
      </c>
      <c r="Q163" s="161">
        <v>0.005286616119402985</v>
      </c>
      <c r="R163" s="162">
        <v>1.7180877492537312</v>
      </c>
      <c r="S163" s="161">
        <v>157</v>
      </c>
      <c r="T163" s="161">
        <v>500</v>
      </c>
      <c r="U163" s="161" t="s">
        <v>353</v>
      </c>
      <c r="V163" s="162"/>
      <c r="W163" s="162"/>
      <c r="X163" s="51"/>
      <c r="Y163" s="51"/>
      <c r="Z163" s="51"/>
      <c r="AA163" s="51"/>
      <c r="AB163" s="51"/>
      <c r="AC163" s="152">
        <v>10</v>
      </c>
      <c r="AD163" s="153">
        <v>37.77777777777778</v>
      </c>
      <c r="AE163" s="153">
        <v>93.33333333333333</v>
      </c>
      <c r="AF163" s="153">
        <v>148.88888888888889</v>
      </c>
      <c r="AG163" s="153">
        <v>232.22222222222223</v>
      </c>
      <c r="AH163" s="153">
        <v>315.55555555555554</v>
      </c>
      <c r="AI163" s="154">
        <v>890.626376</v>
      </c>
      <c r="AJ163" s="154">
        <v>873.00607</v>
      </c>
      <c r="AK163" s="154">
        <v>836.1636120000001</v>
      </c>
      <c r="AL163" s="154">
        <v>799.321154</v>
      </c>
      <c r="AM163" s="154">
        <v>743.2565440000001</v>
      </c>
      <c r="AN163" s="154">
        <v>688.7937800000001</v>
      </c>
      <c r="AO163" s="155">
        <v>1.7584559999999998</v>
      </c>
      <c r="AP163" s="155">
        <v>1.925928</v>
      </c>
      <c r="AQ163" s="155">
        <v>2.219004</v>
      </c>
      <c r="AR163" s="155">
        <v>2.5120799999999996</v>
      </c>
      <c r="AS163" s="155">
        <v>2.93076</v>
      </c>
      <c r="AT163" s="155">
        <v>3.391308</v>
      </c>
      <c r="AU163" s="156">
        <v>0.10557483499999999</v>
      </c>
      <c r="AV163" s="156">
        <v>0.1038441</v>
      </c>
      <c r="AW163" s="156">
        <v>0.10038263</v>
      </c>
      <c r="AX163" s="156">
        <v>0.098651895</v>
      </c>
      <c r="AY163" s="156">
        <v>0.09345969</v>
      </c>
      <c r="AZ163" s="156">
        <v>0.08999821999999999</v>
      </c>
      <c r="BA163" s="157">
        <v>83</v>
      </c>
      <c r="BB163" s="157">
        <v>16</v>
      </c>
      <c r="BC163" s="157">
        <v>3.2</v>
      </c>
      <c r="BD163" s="157">
        <v>1.6</v>
      </c>
      <c r="BE163" s="157">
        <v>0.53</v>
      </c>
      <c r="BF163" s="157">
        <v>0.16</v>
      </c>
      <c r="BG163" s="158">
        <v>0.01</v>
      </c>
      <c r="BH163" s="158">
        <v>7.3</v>
      </c>
      <c r="BI163" s="158">
        <v>106</v>
      </c>
      <c r="BJ163" s="159" t="s">
        <v>395</v>
      </c>
      <c r="BK163" s="171"/>
    </row>
    <row r="164" spans="1:63" s="61" customFormat="1" ht="12.75" customHeight="1">
      <c r="A164" s="160" t="s">
        <v>643</v>
      </c>
      <c r="B164" s="161">
        <v>0</v>
      </c>
      <c r="C164" s="161" t="s">
        <v>469</v>
      </c>
      <c r="D164" s="161">
        <v>0</v>
      </c>
      <c r="E164" s="161">
        <v>0</v>
      </c>
      <c r="F164" s="161"/>
      <c r="G164" s="161">
        <v>6.815001077441078</v>
      </c>
      <c r="H164" s="161">
        <v>1036.9219348313472</v>
      </c>
      <c r="I164" s="161">
        <v>227.63628618920637</v>
      </c>
      <c r="J164" s="161">
        <v>-4.957891370644029</v>
      </c>
      <c r="K164" s="161">
        <v>1823.4144417011082</v>
      </c>
      <c r="L164" s="161">
        <v>215.81516367161947</v>
      </c>
      <c r="M164" s="161">
        <v>-0.9576008602889342</v>
      </c>
      <c r="N164" s="161">
        <v>644.4961099624321</v>
      </c>
      <c r="O164" s="161">
        <v>-0.00024132090299999997</v>
      </c>
      <c r="P164" s="161">
        <v>0.15371749222444167</v>
      </c>
      <c r="Q164" s="161">
        <v>0.0031606535248128896</v>
      </c>
      <c r="R164" s="162">
        <v>2.1967237958024275</v>
      </c>
      <c r="S164" s="161">
        <v>-49.44444444444444</v>
      </c>
      <c r="T164" s="161">
        <v>36.05555555555556</v>
      </c>
      <c r="U164" s="161"/>
      <c r="V164" s="162">
        <v>72.15</v>
      </c>
      <c r="W164" s="162">
        <v>357.5062</v>
      </c>
      <c r="X164" s="51"/>
      <c r="Y164" s="51"/>
      <c r="Z164" s="51"/>
      <c r="AA164" s="51"/>
      <c r="AB164" s="51"/>
      <c r="AC164" s="152">
        <v>-50</v>
      </c>
      <c r="AD164" s="153">
        <v>-30</v>
      </c>
      <c r="AE164" s="153">
        <v>-10</v>
      </c>
      <c r="AF164" s="153">
        <v>10</v>
      </c>
      <c r="AG164" s="153">
        <v>30</v>
      </c>
      <c r="AH164" s="153">
        <v>50</v>
      </c>
      <c r="AI164" s="154">
        <v>691.0265028344547</v>
      </c>
      <c r="AJ164" s="154">
        <v>673.4160519724832</v>
      </c>
      <c r="AK164" s="154">
        <v>655.1447873567007</v>
      </c>
      <c r="AL164" s="154">
        <v>636.1055147246573</v>
      </c>
      <c r="AM164" s="154">
        <v>616.1598369559846</v>
      </c>
      <c r="AN164" s="154">
        <v>595.1239659303118</v>
      </c>
      <c r="AO164" s="155">
        <v>2.052201238942703</v>
      </c>
      <c r="AP164" s="155">
        <v>2.1006959740820643</v>
      </c>
      <c r="AQ164" s="155">
        <v>2.1543091650495634</v>
      </c>
      <c r="AR164" s="155">
        <v>2.2155304916788774</v>
      </c>
      <c r="AS164" s="155">
        <v>2.2868496338036866</v>
      </c>
      <c r="AT164" s="155">
        <v>2.3707562712576715</v>
      </c>
      <c r="AU164" s="156">
        <v>0.16520379070777502</v>
      </c>
      <c r="AV164" s="156">
        <v>0.161073068647775</v>
      </c>
      <c r="AW164" s="156">
        <v>0.15659449858777502</v>
      </c>
      <c r="AX164" s="156">
        <v>0.15176808052777502</v>
      </c>
      <c r="AY164" s="156">
        <v>0.14659381446777503</v>
      </c>
      <c r="AZ164" s="156">
        <v>0.141071700407775</v>
      </c>
      <c r="BA164" s="157">
        <v>0.4646632885263914</v>
      </c>
      <c r="BB164" s="157">
        <v>0.3734357311044539</v>
      </c>
      <c r="BC164" s="157">
        <v>0.3143595509547166</v>
      </c>
      <c r="BD164" s="157">
        <v>0.2715798458096763</v>
      </c>
      <c r="BE164" s="157">
        <v>0.2371902905166995</v>
      </c>
      <c r="BF164" s="157">
        <v>0.20706664866789365</v>
      </c>
      <c r="BG164" s="158">
        <v>37.01552349649836</v>
      </c>
      <c r="BH164" s="158">
        <v>282.8250741760278</v>
      </c>
      <c r="BI164" s="158">
        <v>1202.7620237311726</v>
      </c>
      <c r="BJ164" s="159" t="s">
        <v>656</v>
      </c>
      <c r="BK164" s="171"/>
    </row>
    <row r="165" spans="1:63" s="61" customFormat="1" ht="12.75" customHeight="1">
      <c r="A165" s="160" t="s">
        <v>396</v>
      </c>
      <c r="B165" s="161" t="s">
        <v>164</v>
      </c>
      <c r="C165" s="161" t="s">
        <v>397</v>
      </c>
      <c r="D165" s="161">
        <v>25</v>
      </c>
      <c r="E165" s="161">
        <v>315</v>
      </c>
      <c r="F165" s="161"/>
      <c r="G165" s="161" t="s">
        <v>196</v>
      </c>
      <c r="H165" s="161" t="s">
        <v>196</v>
      </c>
      <c r="I165" s="161" t="s">
        <v>196</v>
      </c>
      <c r="J165" s="161">
        <v>-2.6020138240806694</v>
      </c>
      <c r="K165" s="161">
        <v>745.2365508674202</v>
      </c>
      <c r="L165" s="161">
        <v>-188.09809255954806</v>
      </c>
      <c r="M165" s="161">
        <v>-0.6325580083917661</v>
      </c>
      <c r="N165" s="161">
        <v>878.7054000186797</v>
      </c>
      <c r="O165" s="161">
        <v>0</v>
      </c>
      <c r="P165" s="161">
        <v>0</v>
      </c>
      <c r="Q165" s="161">
        <v>0.00327426906871133</v>
      </c>
      <c r="R165" s="162">
        <v>1.8424176287004745</v>
      </c>
      <c r="S165" s="161">
        <v>225</v>
      </c>
      <c r="T165" s="161">
        <v>376</v>
      </c>
      <c r="U165" s="161"/>
      <c r="V165" s="162"/>
      <c r="W165" s="162"/>
      <c r="X165" s="51"/>
      <c r="Y165" s="51"/>
      <c r="Z165" s="51"/>
      <c r="AA165" s="51"/>
      <c r="AB165" s="51"/>
      <c r="AC165" s="152">
        <v>15</v>
      </c>
      <c r="AD165" s="153">
        <v>38</v>
      </c>
      <c r="AE165" s="153">
        <v>260</v>
      </c>
      <c r="AF165" s="153">
        <v>260</v>
      </c>
      <c r="AG165" s="153">
        <v>316</v>
      </c>
      <c r="AH165" s="153">
        <v>316</v>
      </c>
      <c r="AI165" s="154">
        <v>869</v>
      </c>
      <c r="AJ165" s="154">
        <v>855</v>
      </c>
      <c r="AK165" s="154">
        <v>714</v>
      </c>
      <c r="AL165" s="154">
        <v>714</v>
      </c>
      <c r="AM165" s="154">
        <v>679</v>
      </c>
      <c r="AN165" s="154">
        <v>679</v>
      </c>
      <c r="AO165" s="155">
        <v>1.89</v>
      </c>
      <c r="AP165" s="155">
        <v>1.97</v>
      </c>
      <c r="AQ165" s="155">
        <v>2.69</v>
      </c>
      <c r="AR165" s="155">
        <v>2.69</v>
      </c>
      <c r="AS165" s="155">
        <v>2.88</v>
      </c>
      <c r="AT165" s="155">
        <v>2.88</v>
      </c>
      <c r="AU165" s="156">
        <v>0</v>
      </c>
      <c r="AV165" s="156">
        <v>0</v>
      </c>
      <c r="AW165" s="156">
        <v>0</v>
      </c>
      <c r="AX165" s="156">
        <v>0</v>
      </c>
      <c r="AY165" s="156">
        <v>0</v>
      </c>
      <c r="AZ165" s="156">
        <v>0</v>
      </c>
      <c r="BA165" s="157">
        <v>86.9</v>
      </c>
      <c r="BB165" s="157">
        <v>31.635</v>
      </c>
      <c r="BC165" s="157">
        <v>0.6426000000000001</v>
      </c>
      <c r="BD165" s="157">
        <v>0.6426000000000001</v>
      </c>
      <c r="BE165" s="157">
        <v>0.47529999999999994</v>
      </c>
      <c r="BF165" s="157">
        <v>0.47529999999999994</v>
      </c>
      <c r="BG165" s="158">
        <v>0</v>
      </c>
      <c r="BH165" s="158">
        <v>0</v>
      </c>
      <c r="BI165" s="158">
        <v>0</v>
      </c>
      <c r="BJ165" s="159">
        <v>0</v>
      </c>
      <c r="BK165" s="171"/>
    </row>
    <row r="166" spans="1:63" s="61" customFormat="1" ht="12.75" customHeight="1">
      <c r="A166" s="160" t="s">
        <v>466</v>
      </c>
      <c r="B166" s="161">
        <v>0</v>
      </c>
      <c r="C166" s="161" t="s">
        <v>469</v>
      </c>
      <c r="D166" s="161">
        <v>0</v>
      </c>
      <c r="E166" s="161">
        <v>0</v>
      </c>
      <c r="F166" s="161"/>
      <c r="G166" s="161">
        <v>8.070898891350968</v>
      </c>
      <c r="H166" s="161">
        <v>1562.677223983473</v>
      </c>
      <c r="I166" s="161">
        <v>218.69123806822807</v>
      </c>
      <c r="J166" s="161">
        <v>-13.528854999789088</v>
      </c>
      <c r="K166" s="161">
        <v>8140.334312493846</v>
      </c>
      <c r="L166" s="161">
        <v>275.4940160734912</v>
      </c>
      <c r="M166" s="161">
        <v>-0.8179466666666675</v>
      </c>
      <c r="N166" s="161">
        <v>801.5741333333334</v>
      </c>
      <c r="O166" s="161">
        <v>-9.246392465753427E-05</v>
      </c>
      <c r="P166" s="161">
        <v>0.16129027678082192</v>
      </c>
      <c r="Q166" s="161">
        <v>0.012730166136986298</v>
      </c>
      <c r="R166" s="162">
        <v>2.428550472328767</v>
      </c>
      <c r="S166" s="161">
        <v>12</v>
      </c>
      <c r="T166" s="161">
        <v>82.5</v>
      </c>
      <c r="U166" s="161"/>
      <c r="V166" s="162">
        <v>60.1</v>
      </c>
      <c r="W166" s="162">
        <v>663</v>
      </c>
      <c r="X166" s="51"/>
      <c r="Y166" s="51"/>
      <c r="Z166" s="51"/>
      <c r="AA166" s="51"/>
      <c r="AB166" s="51"/>
      <c r="AC166" s="152">
        <v>-10</v>
      </c>
      <c r="AD166" s="153">
        <v>0</v>
      </c>
      <c r="AE166" s="153">
        <v>20</v>
      </c>
      <c r="AF166" s="153">
        <v>40</v>
      </c>
      <c r="AG166" s="153">
        <v>60</v>
      </c>
      <c r="AH166" s="153">
        <v>80</v>
      </c>
      <c r="AI166" s="154">
        <v>809.7536000000001</v>
      </c>
      <c r="AJ166" s="154">
        <v>801.5741333333334</v>
      </c>
      <c r="AK166" s="154">
        <v>785.2152000000001</v>
      </c>
      <c r="AL166" s="154">
        <v>768.8562666666667</v>
      </c>
      <c r="AM166" s="154">
        <v>752.4973333333334</v>
      </c>
      <c r="AN166" s="154">
        <v>736.1384</v>
      </c>
      <c r="AO166" s="155">
        <v>2.30274</v>
      </c>
      <c r="AP166" s="155">
        <v>2.4283439999999996</v>
      </c>
      <c r="AQ166" s="155">
        <v>2.6837388</v>
      </c>
      <c r="AR166" s="155">
        <v>2.9391336</v>
      </c>
      <c r="AS166" s="155">
        <v>3.181968</v>
      </c>
      <c r="AT166" s="155">
        <v>3.4541099999999996</v>
      </c>
      <c r="AU166" s="156">
        <v>0.16268908999999998</v>
      </c>
      <c r="AV166" s="156">
        <v>0.160958355</v>
      </c>
      <c r="AW166" s="156">
        <v>0.15922762</v>
      </c>
      <c r="AX166" s="156">
        <v>0.15749688499999998</v>
      </c>
      <c r="AY166" s="156">
        <v>0.15576615</v>
      </c>
      <c r="AZ166" s="156">
        <v>0.15403541499999998</v>
      </c>
      <c r="BA166" s="157">
        <v>4.8</v>
      </c>
      <c r="BB166" s="157">
        <v>3.7</v>
      </c>
      <c r="BC166" s="157">
        <v>2.25</v>
      </c>
      <c r="BD166" s="157">
        <v>1.35</v>
      </c>
      <c r="BE166" s="157">
        <v>0.87</v>
      </c>
      <c r="BF166" s="157">
        <v>0.56</v>
      </c>
      <c r="BG166" s="158">
        <v>8.42</v>
      </c>
      <c r="BH166" s="158">
        <v>107.2</v>
      </c>
      <c r="BI166" s="158">
        <v>690.48</v>
      </c>
      <c r="BJ166" s="159" t="s">
        <v>470</v>
      </c>
      <c r="BK166" s="171"/>
    </row>
    <row r="167" spans="1:63" s="61" customFormat="1" ht="12.75" customHeight="1">
      <c r="A167" s="160" t="s">
        <v>465</v>
      </c>
      <c r="B167" s="161">
        <v>0</v>
      </c>
      <c r="C167" s="161" t="s">
        <v>469</v>
      </c>
      <c r="D167" s="161">
        <v>0</v>
      </c>
      <c r="E167" s="161">
        <v>0</v>
      </c>
      <c r="F167" s="161"/>
      <c r="G167" s="161">
        <v>8.0602642174738</v>
      </c>
      <c r="H167" s="161">
        <v>1608.4237666909296</v>
      </c>
      <c r="I167" s="161">
        <v>213.49081381649734</v>
      </c>
      <c r="J167" s="161">
        <v>-9.373872473925106</v>
      </c>
      <c r="K167" s="161">
        <v>4628.137227680419</v>
      </c>
      <c r="L167" s="161">
        <v>160.10671998308905</v>
      </c>
      <c r="M167" s="161">
        <v>-0.7866666666666667</v>
      </c>
      <c r="N167" s="161">
        <v>819.4333333333334</v>
      </c>
      <c r="O167" s="161">
        <v>0.00018492784931506873</v>
      </c>
      <c r="P167" s="161">
        <v>0.15683304143835616</v>
      </c>
      <c r="Q167" s="161">
        <v>0.009779905972602738</v>
      </c>
      <c r="R167" s="162">
        <v>2.2316905775342466</v>
      </c>
      <c r="S167" s="161">
        <v>15</v>
      </c>
      <c r="T167" s="161">
        <v>97.8</v>
      </c>
      <c r="U167" s="161"/>
      <c r="V167" s="162">
        <v>60.1</v>
      </c>
      <c r="W167" s="162">
        <v>695</v>
      </c>
      <c r="X167" s="51"/>
      <c r="Y167" s="51"/>
      <c r="Z167" s="51"/>
      <c r="AA167" s="51"/>
      <c r="AB167" s="51"/>
      <c r="AC167" s="152">
        <v>-10</v>
      </c>
      <c r="AD167" s="153">
        <v>0</v>
      </c>
      <c r="AE167" s="153">
        <v>20</v>
      </c>
      <c r="AF167" s="153">
        <v>40</v>
      </c>
      <c r="AG167" s="153">
        <v>60</v>
      </c>
      <c r="AH167" s="153">
        <v>80</v>
      </c>
      <c r="AI167" s="154">
        <v>827.3</v>
      </c>
      <c r="AJ167" s="154">
        <v>819.4333333333332</v>
      </c>
      <c r="AK167" s="154">
        <v>803.7</v>
      </c>
      <c r="AL167" s="154">
        <v>787.9666666666665</v>
      </c>
      <c r="AM167" s="154">
        <v>772.2333333333331</v>
      </c>
      <c r="AN167" s="154">
        <v>756.5</v>
      </c>
      <c r="AO167" s="155">
        <v>2.135268</v>
      </c>
      <c r="AP167" s="155">
        <v>2.2273776</v>
      </c>
      <c r="AQ167" s="155">
        <v>2.4283439999999996</v>
      </c>
      <c r="AR167" s="155">
        <v>2.6293104</v>
      </c>
      <c r="AS167" s="155">
        <v>2.8135296000000003</v>
      </c>
      <c r="AT167" s="155">
        <v>3.014496</v>
      </c>
      <c r="AU167" s="156">
        <v>0.15403541499999998</v>
      </c>
      <c r="AV167" s="156">
        <v>0.15749688499999998</v>
      </c>
      <c r="AW167" s="156">
        <v>0.160958355</v>
      </c>
      <c r="AX167" s="156">
        <v>0.164419825</v>
      </c>
      <c r="AY167" s="156">
        <v>0.16788129499999999</v>
      </c>
      <c r="AZ167" s="156">
        <v>0.171342765</v>
      </c>
      <c r="BA167" s="157">
        <v>4.7</v>
      </c>
      <c r="BB167" s="157">
        <v>3.7</v>
      </c>
      <c r="BC167" s="157">
        <v>2.35</v>
      </c>
      <c r="BD167" s="157">
        <v>1.5</v>
      </c>
      <c r="BE167" s="157">
        <v>1</v>
      </c>
      <c r="BF167" s="157">
        <v>0.7</v>
      </c>
      <c r="BG167" s="158">
        <v>3.36</v>
      </c>
      <c r="BH167" s="158">
        <v>51.9</v>
      </c>
      <c r="BI167" s="158">
        <v>380.14</v>
      </c>
      <c r="BJ167" s="159" t="s">
        <v>470</v>
      </c>
      <c r="BK167" s="171"/>
    </row>
    <row r="168" spans="1:63" s="61" customFormat="1" ht="12.75" customHeight="1">
      <c r="A168" s="160" t="s">
        <v>398</v>
      </c>
      <c r="B168" s="161" t="s">
        <v>164</v>
      </c>
      <c r="C168" s="161" t="s">
        <v>399</v>
      </c>
      <c r="D168" s="161">
        <v>4</v>
      </c>
      <c r="E168" s="161">
        <v>326</v>
      </c>
      <c r="F168" s="161"/>
      <c r="G168" s="161">
        <v>-3.592414728601374</v>
      </c>
      <c r="H168" s="161">
        <v>600.9665435623208</v>
      </c>
      <c r="I168" s="161">
        <v>-417.39323353920037</v>
      </c>
      <c r="J168" s="161">
        <v>-3.0244346275771674</v>
      </c>
      <c r="K168" s="161">
        <v>966.3912742118334</v>
      </c>
      <c r="L168" s="161">
        <v>-162.61621091494024</v>
      </c>
      <c r="M168" s="161">
        <v>-0.6772857282889706</v>
      </c>
      <c r="N168" s="161">
        <v>864.7274490851328</v>
      </c>
      <c r="O168" s="161">
        <v>-5.637066781774282E-05</v>
      </c>
      <c r="P168" s="161">
        <v>0.1390679466479133</v>
      </c>
      <c r="Q168" s="161">
        <v>0.0033925068606179133</v>
      </c>
      <c r="R168" s="162">
        <v>1.8060942684105978</v>
      </c>
      <c r="S168" s="161">
        <v>209</v>
      </c>
      <c r="T168" s="161">
        <v>382</v>
      </c>
      <c r="U168" s="161"/>
      <c r="V168" s="162"/>
      <c r="W168" s="162"/>
      <c r="X168" s="51"/>
      <c r="Y168" s="51"/>
      <c r="Z168" s="51"/>
      <c r="AA168" s="51"/>
      <c r="AB168" s="51"/>
      <c r="AC168" s="152">
        <v>15</v>
      </c>
      <c r="AD168" s="153">
        <v>40</v>
      </c>
      <c r="AE168" s="153">
        <v>40</v>
      </c>
      <c r="AF168" s="153">
        <v>100</v>
      </c>
      <c r="AG168" s="153">
        <v>260</v>
      </c>
      <c r="AH168" s="153">
        <v>316</v>
      </c>
      <c r="AI168" s="154">
        <v>853.783918</v>
      </c>
      <c r="AJ168" s="154">
        <v>837.765458</v>
      </c>
      <c r="AK168" s="154">
        <v>837.765458</v>
      </c>
      <c r="AL168" s="154">
        <v>797.719308</v>
      </c>
      <c r="AM168" s="154">
        <v>688.7937800000001</v>
      </c>
      <c r="AN168" s="154">
        <v>650.3494760000001</v>
      </c>
      <c r="AO168" s="155">
        <v>1.8673127999999999</v>
      </c>
      <c r="AP168" s="155">
        <v>1.9384884</v>
      </c>
      <c r="AQ168" s="155">
        <v>1.9384884</v>
      </c>
      <c r="AR168" s="155">
        <v>2.1394547999999998</v>
      </c>
      <c r="AS168" s="155">
        <v>2.6879256</v>
      </c>
      <c r="AT168" s="155">
        <v>2.8805183999999997</v>
      </c>
      <c r="AU168" s="156">
        <v>0.1384588</v>
      </c>
      <c r="AV168" s="156">
        <v>0.13672806499999998</v>
      </c>
      <c r="AW168" s="156">
        <v>0.13672806499999998</v>
      </c>
      <c r="AX168" s="156">
        <v>0.133266595</v>
      </c>
      <c r="AY168" s="156">
        <v>0.12461291999999999</v>
      </c>
      <c r="AZ168" s="156">
        <v>0.12115145000000001</v>
      </c>
      <c r="BA168" s="157">
        <v>0</v>
      </c>
      <c r="BB168" s="157">
        <v>29.8244503048</v>
      </c>
      <c r="BC168" s="157">
        <v>0</v>
      </c>
      <c r="BD168" s="157">
        <v>4.786315848</v>
      </c>
      <c r="BE168" s="157">
        <v>0</v>
      </c>
      <c r="BF168" s="157">
        <v>0.46825162272000004</v>
      </c>
      <c r="BG168" s="158">
        <v>0.01</v>
      </c>
      <c r="BH168" s="158">
        <v>0.02</v>
      </c>
      <c r="BI168" s="158">
        <v>216.10884353741497</v>
      </c>
      <c r="BJ168" s="159" t="s">
        <v>400</v>
      </c>
      <c r="BK168" s="171"/>
    </row>
    <row r="169" spans="1:63" s="61" customFormat="1" ht="12.75" customHeight="1">
      <c r="A169" s="160" t="s">
        <v>401</v>
      </c>
      <c r="B169" s="161" t="s">
        <v>194</v>
      </c>
      <c r="C169" s="161" t="s">
        <v>402</v>
      </c>
      <c r="D169" s="161">
        <v>-40</v>
      </c>
      <c r="E169" s="161">
        <v>400</v>
      </c>
      <c r="F169" s="161"/>
      <c r="G169" s="161">
        <v>5.901474835595182</v>
      </c>
      <c r="H169" s="161">
        <v>992.7441570971674</v>
      </c>
      <c r="I169" s="161">
        <v>125.64036179992321</v>
      </c>
      <c r="J169" s="161">
        <v>-6.161416700637115</v>
      </c>
      <c r="K169" s="161">
        <v>4125.909563127492</v>
      </c>
      <c r="L169" s="161">
        <v>190.8926924736406</v>
      </c>
      <c r="M169" s="161">
        <v>-0.9867166095890412</v>
      </c>
      <c r="N169" s="161">
        <v>957.6492123287671</v>
      </c>
      <c r="O169" s="161">
        <v>-0.0001881763698630137</v>
      </c>
      <c r="P169" s="161">
        <v>0.13878390410958905</v>
      </c>
      <c r="Q169" s="161">
        <v>0.001707705479452055</v>
      </c>
      <c r="R169" s="162">
        <v>1.574164383561644</v>
      </c>
      <c r="S169" s="161">
        <v>160</v>
      </c>
      <c r="T169" s="161">
        <v>330</v>
      </c>
      <c r="U169" s="161"/>
      <c r="V169" s="162"/>
      <c r="W169" s="162"/>
      <c r="X169" s="51"/>
      <c r="Y169" s="51"/>
      <c r="Z169" s="51"/>
      <c r="AA169" s="51"/>
      <c r="AB169" s="51"/>
      <c r="AC169" s="152">
        <v>-40</v>
      </c>
      <c r="AD169" s="153">
        <v>0</v>
      </c>
      <c r="AE169" s="153">
        <v>120</v>
      </c>
      <c r="AF169" s="153">
        <v>240</v>
      </c>
      <c r="AG169" s="153">
        <v>320</v>
      </c>
      <c r="AH169" s="153">
        <v>400</v>
      </c>
      <c r="AI169" s="154">
        <v>990.61</v>
      </c>
      <c r="AJ169" s="154">
        <v>953.16</v>
      </c>
      <c r="AK169" s="154">
        <v>846.35</v>
      </c>
      <c r="AL169" s="154">
        <v>734.35</v>
      </c>
      <c r="AM169" s="154">
        <v>648.24</v>
      </c>
      <c r="AN169" s="154">
        <v>547</v>
      </c>
      <c r="AO169" s="155">
        <v>1.506</v>
      </c>
      <c r="AP169" s="155">
        <v>1.574</v>
      </c>
      <c r="AQ169" s="155">
        <v>1.779</v>
      </c>
      <c r="AR169" s="155">
        <v>1.984</v>
      </c>
      <c r="AS169" s="155">
        <v>2.121</v>
      </c>
      <c r="AT169" s="155">
        <v>2.257</v>
      </c>
      <c r="AU169" s="156">
        <v>0.1463</v>
      </c>
      <c r="AV169" s="156">
        <v>0.1388</v>
      </c>
      <c r="AW169" s="156">
        <v>0.1162</v>
      </c>
      <c r="AX169" s="156">
        <v>0.0936</v>
      </c>
      <c r="AY169" s="156">
        <v>0.0786</v>
      </c>
      <c r="AZ169" s="156">
        <v>0.0635</v>
      </c>
      <c r="BA169" s="157">
        <v>51.05</v>
      </c>
      <c r="BB169" s="157">
        <v>15.33</v>
      </c>
      <c r="BC169" s="157">
        <v>2.36</v>
      </c>
      <c r="BD169" s="157">
        <v>0.74</v>
      </c>
      <c r="BE169" s="157">
        <v>0.41</v>
      </c>
      <c r="BF169" s="157">
        <v>0.25</v>
      </c>
      <c r="BG169" s="158">
        <v>0.01</v>
      </c>
      <c r="BH169" s="158">
        <v>1536</v>
      </c>
      <c r="BI169" s="158">
        <v>10300</v>
      </c>
      <c r="BJ169" s="159" t="s">
        <v>403</v>
      </c>
      <c r="BK169" s="171"/>
    </row>
    <row r="170" spans="1:63" s="61" customFormat="1" ht="12.75" customHeight="1">
      <c r="A170" s="160" t="s">
        <v>404</v>
      </c>
      <c r="B170" s="161" t="s">
        <v>194</v>
      </c>
      <c r="C170" s="161" t="s">
        <v>402</v>
      </c>
      <c r="D170" s="161">
        <v>-73</v>
      </c>
      <c r="E170" s="161">
        <v>260</v>
      </c>
      <c r="F170" s="161"/>
      <c r="G170" s="161">
        <v>16.10646624048018</v>
      </c>
      <c r="H170" s="161">
        <v>14388.576177019771</v>
      </c>
      <c r="I170" s="161">
        <v>864.6650652821249</v>
      </c>
      <c r="J170" s="161">
        <v>-4.134554066382419</v>
      </c>
      <c r="K170" s="161">
        <v>1402.5367104564855</v>
      </c>
      <c r="L170" s="161">
        <v>2.082260640561227</v>
      </c>
      <c r="M170" s="161">
        <v>-1.0109958501892207</v>
      </c>
      <c r="N170" s="161">
        <v>891.9792530862586</v>
      </c>
      <c r="O170" s="161">
        <v>-0.0002479937361346731</v>
      </c>
      <c r="P170" s="161">
        <v>0.11195562730001304</v>
      </c>
      <c r="Q170" s="161">
        <v>0.0024634581756492234</v>
      </c>
      <c r="R170" s="162">
        <v>1.632590905215538</v>
      </c>
      <c r="S170" s="161">
        <v>63</v>
      </c>
      <c r="T170" s="161">
        <v>210</v>
      </c>
      <c r="U170" s="161"/>
      <c r="V170" s="162"/>
      <c r="W170" s="162"/>
      <c r="X170" s="51"/>
      <c r="Y170" s="51"/>
      <c r="Z170" s="51"/>
      <c r="AA170" s="51"/>
      <c r="AB170" s="51"/>
      <c r="AC170" s="152">
        <v>-73</v>
      </c>
      <c r="AD170" s="153">
        <v>-70</v>
      </c>
      <c r="AE170" s="153">
        <v>-20</v>
      </c>
      <c r="AF170" s="153">
        <v>80</v>
      </c>
      <c r="AG170" s="153">
        <v>180</v>
      </c>
      <c r="AH170" s="153">
        <v>260</v>
      </c>
      <c r="AI170" s="154">
        <v>965.78</v>
      </c>
      <c r="AJ170" s="154">
        <v>962.75</v>
      </c>
      <c r="AK170" s="154">
        <v>912.2</v>
      </c>
      <c r="AL170" s="154">
        <v>811.1</v>
      </c>
      <c r="AM170" s="154">
        <v>710</v>
      </c>
      <c r="AN170" s="154">
        <v>629.12</v>
      </c>
      <c r="AO170" s="155">
        <v>1.453</v>
      </c>
      <c r="AP170" s="155">
        <v>1.46</v>
      </c>
      <c r="AQ170" s="155">
        <v>1.583</v>
      </c>
      <c r="AR170" s="155">
        <v>1.83</v>
      </c>
      <c r="AS170" s="155">
        <v>2.076</v>
      </c>
      <c r="AT170" s="155">
        <v>2.273</v>
      </c>
      <c r="AU170" s="156">
        <v>0.1301</v>
      </c>
      <c r="AV170" s="156">
        <v>0.1293</v>
      </c>
      <c r="AW170" s="156">
        <v>0.1169</v>
      </c>
      <c r="AX170" s="156">
        <v>0.0921</v>
      </c>
      <c r="AY170" s="156">
        <v>0.0673</v>
      </c>
      <c r="AZ170" s="156">
        <v>0.0475</v>
      </c>
      <c r="BA170" s="157">
        <v>16.46</v>
      </c>
      <c r="BB170" s="157">
        <v>14.87</v>
      </c>
      <c r="BC170" s="157">
        <v>3.88</v>
      </c>
      <c r="BD170" s="157">
        <v>0.83</v>
      </c>
      <c r="BE170" s="157">
        <v>0.35</v>
      </c>
      <c r="BF170" s="157">
        <v>0.22</v>
      </c>
      <c r="BG170" s="158">
        <v>0.01</v>
      </c>
      <c r="BH170" s="158">
        <v>7.5</v>
      </c>
      <c r="BI170" s="158">
        <v>2055</v>
      </c>
      <c r="BJ170" s="159" t="s">
        <v>405</v>
      </c>
      <c r="BK170" s="171"/>
    </row>
    <row r="171" spans="1:63" s="61" customFormat="1" ht="12.75" customHeight="1">
      <c r="A171" s="160" t="s">
        <v>406</v>
      </c>
      <c r="B171" s="161" t="s">
        <v>194</v>
      </c>
      <c r="C171" s="161" t="s">
        <v>402</v>
      </c>
      <c r="D171" s="161">
        <v>-100</v>
      </c>
      <c r="E171" s="161">
        <v>260</v>
      </c>
      <c r="F171" s="161"/>
      <c r="G171" s="161">
        <v>6.378797205912397</v>
      </c>
      <c r="H171" s="161">
        <v>1168.2989920817326</v>
      </c>
      <c r="I171" s="161">
        <v>159.43516752706896</v>
      </c>
      <c r="J171" s="161">
        <v>-3.6936007524249748</v>
      </c>
      <c r="K171" s="161">
        <v>958.0562569390269</v>
      </c>
      <c r="L171" s="161">
        <v>-54.58923559012194</v>
      </c>
      <c r="M171" s="161">
        <v>-1.0272236421725238</v>
      </c>
      <c r="N171" s="161">
        <v>875.8149520766774</v>
      </c>
      <c r="O171" s="161">
        <v>-0.00023428753993610225</v>
      </c>
      <c r="P171" s="161">
        <v>0.11354779552715655</v>
      </c>
      <c r="Q171" s="161">
        <v>0.0021</v>
      </c>
      <c r="R171" s="162">
        <v>1.73</v>
      </c>
      <c r="S171" s="161">
        <v>47</v>
      </c>
      <c r="T171" s="161">
        <v>175</v>
      </c>
      <c r="U171" s="161"/>
      <c r="V171" s="162"/>
      <c r="W171" s="162"/>
      <c r="X171" s="51"/>
      <c r="Y171" s="51"/>
      <c r="Z171" s="51"/>
      <c r="AA171" s="51"/>
      <c r="AB171" s="51"/>
      <c r="AC171" s="152">
        <v>-100</v>
      </c>
      <c r="AD171" s="153">
        <v>-20</v>
      </c>
      <c r="AE171" s="153">
        <v>60</v>
      </c>
      <c r="AF171" s="153">
        <v>140</v>
      </c>
      <c r="AG171" s="153">
        <v>220</v>
      </c>
      <c r="AH171" s="153">
        <v>280</v>
      </c>
      <c r="AI171" s="154">
        <v>978.5</v>
      </c>
      <c r="AJ171" s="154">
        <v>896.4</v>
      </c>
      <c r="AK171" s="154">
        <v>814.2</v>
      </c>
      <c r="AL171" s="154">
        <v>732</v>
      </c>
      <c r="AM171" s="154">
        <v>649.8</v>
      </c>
      <c r="AN171" s="154">
        <v>588.2</v>
      </c>
      <c r="AO171" s="155">
        <v>1.52</v>
      </c>
      <c r="AP171" s="155">
        <v>1.688</v>
      </c>
      <c r="AQ171" s="155">
        <v>1.856</v>
      </c>
      <c r="AR171" s="155">
        <v>2.024</v>
      </c>
      <c r="AS171" s="155">
        <v>2.192</v>
      </c>
      <c r="AT171" s="155">
        <v>2.318</v>
      </c>
      <c r="AU171" s="156">
        <v>0.1341</v>
      </c>
      <c r="AV171" s="156">
        <v>0.1192</v>
      </c>
      <c r="AW171" s="156">
        <v>0.1019</v>
      </c>
      <c r="AX171" s="156">
        <v>0.0827</v>
      </c>
      <c r="AY171" s="156">
        <v>0.062</v>
      </c>
      <c r="AZ171" s="156">
        <v>0.0455</v>
      </c>
      <c r="BA171" s="157">
        <v>78.6</v>
      </c>
      <c r="BB171" s="157">
        <v>3.1</v>
      </c>
      <c r="BC171" s="157">
        <v>0.8</v>
      </c>
      <c r="BD171" s="157">
        <v>0.36</v>
      </c>
      <c r="BE171" s="157">
        <v>0.22</v>
      </c>
      <c r="BF171" s="157">
        <v>0.17</v>
      </c>
      <c r="BG171" s="158">
        <v>0.01</v>
      </c>
      <c r="BH171" s="158">
        <v>300</v>
      </c>
      <c r="BI171" s="158">
        <v>5250</v>
      </c>
      <c r="BJ171" s="159" t="s">
        <v>407</v>
      </c>
      <c r="BK171" s="171"/>
    </row>
    <row r="172" spans="1:63" s="61" customFormat="1" ht="12.75" customHeight="1">
      <c r="A172" s="160" t="s">
        <v>408</v>
      </c>
      <c r="B172" s="161" t="s">
        <v>174</v>
      </c>
      <c r="C172" s="161" t="s">
        <v>409</v>
      </c>
      <c r="D172" s="161">
        <v>65.55555555555556</v>
      </c>
      <c r="E172" s="161">
        <v>315.55555555555554</v>
      </c>
      <c r="F172" s="161"/>
      <c r="G172" s="161">
        <v>461.7898718673118</v>
      </c>
      <c r="H172" s="161">
        <v>15857160.591660403</v>
      </c>
      <c r="I172" s="161">
        <v>34222.77314643142</v>
      </c>
      <c r="J172" s="161">
        <v>-3.020531985379319</v>
      </c>
      <c r="K172" s="161">
        <v>847.182818146654</v>
      </c>
      <c r="L172" s="161">
        <v>-177.28019075481603</v>
      </c>
      <c r="M172" s="161">
        <v>-0.7076497957714284</v>
      </c>
      <c r="N172" s="161">
        <v>922.4704642529524</v>
      </c>
      <c r="O172" s="161">
        <v>-0.0002007158104285714</v>
      </c>
      <c r="P172" s="161">
        <v>0.17002443942571427</v>
      </c>
      <c r="Q172" s="161">
        <v>0.003951142971428571</v>
      </c>
      <c r="R172" s="162">
        <v>1.6919297417142856</v>
      </c>
      <c r="S172" s="161">
        <v>176.66666666666666</v>
      </c>
      <c r="T172" s="161">
        <v>269.44444444444446</v>
      </c>
      <c r="U172" s="161"/>
      <c r="V172" s="162"/>
      <c r="W172" s="162"/>
      <c r="X172" s="51"/>
      <c r="Y172" s="51"/>
      <c r="Z172" s="51"/>
      <c r="AA172" s="51"/>
      <c r="AB172" s="51"/>
      <c r="AC172" s="152">
        <v>37.77777777777778</v>
      </c>
      <c r="AD172" s="153">
        <v>93.33333333333333</v>
      </c>
      <c r="AE172" s="153">
        <v>148.88888888888889</v>
      </c>
      <c r="AF172" s="153">
        <v>204.44444444444443</v>
      </c>
      <c r="AG172" s="153">
        <v>260</v>
      </c>
      <c r="AH172" s="153">
        <v>315.55555555555554</v>
      </c>
      <c r="AI172" s="154">
        <v>892.2282220000001</v>
      </c>
      <c r="AJ172" s="154">
        <v>856.98761</v>
      </c>
      <c r="AK172" s="154">
        <v>820.145152</v>
      </c>
      <c r="AL172" s="154">
        <v>780.099002</v>
      </c>
      <c r="AM172" s="154">
        <v>740.0528520000001</v>
      </c>
      <c r="AN172" s="154">
        <v>695.2011640000001</v>
      </c>
      <c r="AO172" s="155">
        <v>1.842192</v>
      </c>
      <c r="AP172" s="155">
        <v>2.051532</v>
      </c>
      <c r="AQ172" s="155">
        <v>2.281806</v>
      </c>
      <c r="AR172" s="155">
        <v>2.5120799999999996</v>
      </c>
      <c r="AS172" s="155">
        <v>2.72142</v>
      </c>
      <c r="AT172" s="155">
        <v>2.93076</v>
      </c>
      <c r="AU172" s="156">
        <v>0.160958355</v>
      </c>
      <c r="AV172" s="156">
        <v>0.15143931249999998</v>
      </c>
      <c r="AW172" s="156">
        <v>0.14192027</v>
      </c>
      <c r="AX172" s="156">
        <v>0.129805125</v>
      </c>
      <c r="AY172" s="156">
        <v>0.11768998</v>
      </c>
      <c r="AZ172" s="156">
        <v>0.10557483499999999</v>
      </c>
      <c r="BA172" s="157">
        <v>29.845034025900006</v>
      </c>
      <c r="BB172" s="157">
        <v>4.2935079261</v>
      </c>
      <c r="BC172" s="157">
        <v>1.54187288576</v>
      </c>
      <c r="BD172" s="157">
        <v>0.8191039521000001</v>
      </c>
      <c r="BE172" s="157">
        <v>0.53283805344</v>
      </c>
      <c r="BF172" s="157">
        <v>0.3823606402000001</v>
      </c>
      <c r="BG172" s="158">
        <v>0.5</v>
      </c>
      <c r="BH172" s="158">
        <v>15.5</v>
      </c>
      <c r="BI172" s="158">
        <v>470</v>
      </c>
      <c r="BJ172" s="159" t="s">
        <v>410</v>
      </c>
      <c r="BK172" s="171"/>
    </row>
    <row r="173" spans="1:63" s="61" customFormat="1" ht="12.75" customHeight="1">
      <c r="A173" s="160" t="s">
        <v>411</v>
      </c>
      <c r="B173" s="161" t="s">
        <v>174</v>
      </c>
      <c r="C173" s="161" t="s">
        <v>409</v>
      </c>
      <c r="D173" s="161">
        <v>65.55555555555556</v>
      </c>
      <c r="E173" s="161">
        <v>315.55555555555554</v>
      </c>
      <c r="F173" s="161"/>
      <c r="G173" s="161">
        <v>44.293077959067645</v>
      </c>
      <c r="H173" s="161">
        <v>139253.22526214935</v>
      </c>
      <c r="I173" s="161">
        <v>2981.1590954655126</v>
      </c>
      <c r="J173" s="161">
        <v>-2.8859515786299728</v>
      </c>
      <c r="K173" s="161">
        <v>889.1565538514203</v>
      </c>
      <c r="L173" s="161">
        <v>-145.17242380572023</v>
      </c>
      <c r="M173" s="161">
        <v>-0.6590452114285713</v>
      </c>
      <c r="N173" s="161">
        <v>826.5830473523808</v>
      </c>
      <c r="O173" s="161">
        <v>-0.00010503088971428565</v>
      </c>
      <c r="P173" s="161">
        <v>0.15297587551619046</v>
      </c>
      <c r="Q173" s="161">
        <v>0.0030144959999999998</v>
      </c>
      <c r="R173" s="162">
        <v>2.18885904</v>
      </c>
      <c r="S173" s="161">
        <v>229.44444444444443</v>
      </c>
      <c r="T173" s="161">
        <v>376.6666666666667</v>
      </c>
      <c r="U173" s="161"/>
      <c r="V173" s="162"/>
      <c r="W173" s="162"/>
      <c r="X173" s="51"/>
      <c r="Y173" s="51"/>
      <c r="Z173" s="51"/>
      <c r="AA173" s="51"/>
      <c r="AB173" s="51"/>
      <c r="AC173" s="152">
        <v>37.77777777777778</v>
      </c>
      <c r="AD173" s="153">
        <v>93.33333333333333</v>
      </c>
      <c r="AE173" s="153">
        <v>148.88888888888889</v>
      </c>
      <c r="AF173" s="153">
        <v>204.44444444444443</v>
      </c>
      <c r="AG173" s="153">
        <v>260</v>
      </c>
      <c r="AH173" s="153">
        <v>315.55555555555554</v>
      </c>
      <c r="AI173" s="154">
        <v>800.923</v>
      </c>
      <c r="AJ173" s="154">
        <v>765.6823880000001</v>
      </c>
      <c r="AK173" s="154">
        <v>728.8399300000001</v>
      </c>
      <c r="AL173" s="154">
        <v>691.9974720000001</v>
      </c>
      <c r="AM173" s="154">
        <v>655.155014</v>
      </c>
      <c r="AN173" s="154">
        <v>618.3125560000001</v>
      </c>
      <c r="AO173" s="155">
        <v>2.30274</v>
      </c>
      <c r="AP173" s="155">
        <v>2.4702119999999996</v>
      </c>
      <c r="AQ173" s="155">
        <v>2.637684</v>
      </c>
      <c r="AR173" s="155">
        <v>2.805156</v>
      </c>
      <c r="AS173" s="155">
        <v>2.972628</v>
      </c>
      <c r="AT173" s="155">
        <v>3.1401</v>
      </c>
      <c r="AU173" s="156">
        <v>0.14884320999999998</v>
      </c>
      <c r="AV173" s="156">
        <v>0.143651005</v>
      </c>
      <c r="AW173" s="156">
        <v>0.13672806499999998</v>
      </c>
      <c r="AX173" s="156">
        <v>0.13153585999999998</v>
      </c>
      <c r="AY173" s="156">
        <v>0.126343655</v>
      </c>
      <c r="AZ173" s="156">
        <v>0.11942071500000001</v>
      </c>
      <c r="BA173" s="157">
        <v>13.295321800000002</v>
      </c>
      <c r="BB173" s="157">
        <v>3.1010136714</v>
      </c>
      <c r="BC173" s="157">
        <v>1.3920842663000002</v>
      </c>
      <c r="BD173" s="157">
        <v>0.8096370422400001</v>
      </c>
      <c r="BE173" s="157">
        <v>0.56343331204</v>
      </c>
      <c r="BF173" s="157">
        <v>0.41426941252000005</v>
      </c>
      <c r="BG173" s="158">
        <v>0.1</v>
      </c>
      <c r="BH173" s="158">
        <v>3.8</v>
      </c>
      <c r="BI173" s="158">
        <v>113</v>
      </c>
      <c r="BJ173" s="159" t="s">
        <v>412</v>
      </c>
      <c r="BK173" s="171"/>
    </row>
    <row r="174" spans="1:63" s="61" customFormat="1" ht="12.75" customHeight="1">
      <c r="A174" s="160" t="s">
        <v>413</v>
      </c>
      <c r="B174" s="161" t="s">
        <v>414</v>
      </c>
      <c r="C174" s="161" t="s">
        <v>415</v>
      </c>
      <c r="D174" s="161">
        <v>-25</v>
      </c>
      <c r="E174" s="161">
        <v>290</v>
      </c>
      <c r="F174" s="161"/>
      <c r="G174" s="161">
        <v>8.317509603293901</v>
      </c>
      <c r="H174" s="161">
        <v>3488.5435518305367</v>
      </c>
      <c r="I174" s="161">
        <v>290.56084009419175</v>
      </c>
      <c r="J174" s="161">
        <v>-3.3186608230674963</v>
      </c>
      <c r="K174" s="161">
        <v>932.6133869288412</v>
      </c>
      <c r="L174" s="161">
        <v>-160.7487371966994</v>
      </c>
      <c r="M174" s="161">
        <v>-0.6951428571428571</v>
      </c>
      <c r="N174" s="161">
        <v>885.8071428571428</v>
      </c>
      <c r="O174" s="161">
        <v>-0.00011657142857142858</v>
      </c>
      <c r="P174" s="161">
        <v>0.13072857142857142</v>
      </c>
      <c r="Q174" s="161">
        <v>0.003542285714285714</v>
      </c>
      <c r="R174" s="162">
        <v>1.835085714285714</v>
      </c>
      <c r="S174" s="161">
        <v>177</v>
      </c>
      <c r="T174" s="161">
        <v>340</v>
      </c>
      <c r="U174" s="161" t="s">
        <v>416</v>
      </c>
      <c r="V174" s="162"/>
      <c r="W174" s="162"/>
      <c r="X174" s="51"/>
      <c r="Y174" s="51"/>
      <c r="Z174" s="51"/>
      <c r="AA174" s="51"/>
      <c r="AB174" s="51"/>
      <c r="AC174" s="152">
        <v>-25</v>
      </c>
      <c r="AD174" s="153">
        <v>25</v>
      </c>
      <c r="AE174" s="153">
        <v>75</v>
      </c>
      <c r="AF174" s="153">
        <v>125</v>
      </c>
      <c r="AG174" s="153">
        <v>175</v>
      </c>
      <c r="AH174" s="153">
        <v>275</v>
      </c>
      <c r="AI174" s="154">
        <v>901</v>
      </c>
      <c r="AJ174" s="154">
        <v>868</v>
      </c>
      <c r="AK174" s="154">
        <v>835</v>
      </c>
      <c r="AL174" s="154">
        <v>801</v>
      </c>
      <c r="AM174" s="154">
        <v>766</v>
      </c>
      <c r="AN174" s="154">
        <v>692</v>
      </c>
      <c r="AO174" s="155">
        <v>1.744</v>
      </c>
      <c r="AP174" s="155">
        <v>1.924</v>
      </c>
      <c r="AQ174" s="155">
        <v>2.102</v>
      </c>
      <c r="AR174" s="155">
        <v>2.28</v>
      </c>
      <c r="AS174" s="155">
        <v>2.456</v>
      </c>
      <c r="AT174" s="155">
        <v>2.807</v>
      </c>
      <c r="AU174" s="156">
        <v>0.1336</v>
      </c>
      <c r="AV174" s="156">
        <v>0.1278</v>
      </c>
      <c r="AW174" s="156">
        <v>0.122</v>
      </c>
      <c r="AX174" s="156">
        <v>0.1162</v>
      </c>
      <c r="AY174" s="156">
        <v>0.1104</v>
      </c>
      <c r="AZ174" s="156">
        <v>0.0986</v>
      </c>
      <c r="BA174" s="157">
        <v>1250</v>
      </c>
      <c r="BB174" s="157">
        <v>32.1</v>
      </c>
      <c r="BC174" s="157">
        <v>5.14</v>
      </c>
      <c r="BD174" s="157">
        <v>1.84</v>
      </c>
      <c r="BE174" s="157">
        <v>0.963</v>
      </c>
      <c r="BF174" s="157">
        <v>0.402</v>
      </c>
      <c r="BG174" s="158">
        <v>0.00183</v>
      </c>
      <c r="BH174" s="158">
        <v>0.837</v>
      </c>
      <c r="BI174" s="158">
        <v>141</v>
      </c>
      <c r="BJ174" s="159" t="s">
        <v>417</v>
      </c>
      <c r="BK174" s="171"/>
    </row>
    <row r="175" spans="1:63" s="61" customFormat="1" ht="12.75" customHeight="1">
      <c r="A175" s="160" t="s">
        <v>418</v>
      </c>
      <c r="B175" s="161" t="s">
        <v>414</v>
      </c>
      <c r="C175" s="161" t="s">
        <v>419</v>
      </c>
      <c r="D175" s="161">
        <v>-45</v>
      </c>
      <c r="E175" s="161">
        <v>315</v>
      </c>
      <c r="F175" s="161"/>
      <c r="G175" s="161">
        <v>7.0978826483705095</v>
      </c>
      <c r="H175" s="161">
        <v>2163.093671692896</v>
      </c>
      <c r="I175" s="161">
        <v>223.7400408742406</v>
      </c>
      <c r="J175" s="161">
        <v>-3.7408348189258445</v>
      </c>
      <c r="K175" s="161">
        <v>1121.9098950960683</v>
      </c>
      <c r="L175" s="161">
        <v>-96.04473953688216</v>
      </c>
      <c r="M175" s="161">
        <v>-0.7728571428571429</v>
      </c>
      <c r="N175" s="161">
        <v>989.8785714285714</v>
      </c>
      <c r="O175" s="161">
        <v>-0.00010142857142857142</v>
      </c>
      <c r="P175" s="161">
        <v>0.1232142857142857</v>
      </c>
      <c r="Q175" s="161">
        <v>0.003334285714285714</v>
      </c>
      <c r="R175" s="162">
        <v>1.6140571428571426</v>
      </c>
      <c r="S175" s="161">
        <v>138</v>
      </c>
      <c r="T175" s="161">
        <v>289</v>
      </c>
      <c r="U175" s="161" t="s">
        <v>420</v>
      </c>
      <c r="V175" s="162"/>
      <c r="W175" s="162"/>
      <c r="X175" s="51"/>
      <c r="Y175" s="51"/>
      <c r="Z175" s="51"/>
      <c r="AA175" s="51"/>
      <c r="AB175" s="51"/>
      <c r="AC175" s="152">
        <v>-45</v>
      </c>
      <c r="AD175" s="153">
        <v>15</v>
      </c>
      <c r="AE175" s="153">
        <v>75</v>
      </c>
      <c r="AF175" s="153">
        <v>135</v>
      </c>
      <c r="AG175" s="153">
        <v>195</v>
      </c>
      <c r="AH175" s="153">
        <v>315</v>
      </c>
      <c r="AI175" s="154">
        <v>1020</v>
      </c>
      <c r="AJ175" s="154">
        <v>978</v>
      </c>
      <c r="AK175" s="154">
        <v>934</v>
      </c>
      <c r="AL175" s="154">
        <v>890</v>
      </c>
      <c r="AM175" s="154">
        <v>843</v>
      </c>
      <c r="AN175" s="154">
        <v>741</v>
      </c>
      <c r="AO175" s="155">
        <v>1.472</v>
      </c>
      <c r="AP175" s="155">
        <v>1.665</v>
      </c>
      <c r="AQ175" s="155">
        <v>1.86</v>
      </c>
      <c r="AR175" s="155">
        <v>2.057</v>
      </c>
      <c r="AS175" s="155">
        <v>2.257</v>
      </c>
      <c r="AT175" s="155">
        <v>2.674</v>
      </c>
      <c r="AU175" s="156">
        <v>0.1253</v>
      </c>
      <c r="AV175" s="156">
        <v>0.1217</v>
      </c>
      <c r="AW175" s="156">
        <v>0.1171</v>
      </c>
      <c r="AX175" s="156">
        <v>0.1115</v>
      </c>
      <c r="AY175" s="156">
        <v>0.1049</v>
      </c>
      <c r="AZ175" s="156">
        <v>0.0888</v>
      </c>
      <c r="BA175" s="157">
        <v>991</v>
      </c>
      <c r="BB175" s="157">
        <v>8.16</v>
      </c>
      <c r="BC175" s="157">
        <v>1.92</v>
      </c>
      <c r="BD175" s="157">
        <v>0.864</v>
      </c>
      <c r="BE175" s="157">
        <v>0.496</v>
      </c>
      <c r="BF175" s="157">
        <v>0.232</v>
      </c>
      <c r="BG175" s="158">
        <v>0.0109</v>
      </c>
      <c r="BH175" s="158">
        <v>11.7</v>
      </c>
      <c r="BI175" s="158">
        <v>1210</v>
      </c>
      <c r="BJ175" s="159" t="s">
        <v>417</v>
      </c>
      <c r="BK175" s="171"/>
    </row>
    <row r="176" spans="1:63" s="61" customFormat="1" ht="12.75" customHeight="1">
      <c r="A176" s="160" t="s">
        <v>421</v>
      </c>
      <c r="B176" s="161" t="s">
        <v>414</v>
      </c>
      <c r="C176" s="161" t="s">
        <v>422</v>
      </c>
      <c r="D176" s="161">
        <v>-20</v>
      </c>
      <c r="E176" s="161">
        <v>325</v>
      </c>
      <c r="F176" s="161"/>
      <c r="G176" s="161">
        <v>8.025677723327378</v>
      </c>
      <c r="H176" s="161">
        <v>3088.7592141380305</v>
      </c>
      <c r="I176" s="161">
        <v>267.47156497282964</v>
      </c>
      <c r="J176" s="161">
        <v>-4.480112502852149</v>
      </c>
      <c r="K176" s="161">
        <v>1412.1785071723398</v>
      </c>
      <c r="L176" s="161">
        <v>-112.82762521305615</v>
      </c>
      <c r="M176" s="161">
        <v>-0.7695238095238095</v>
      </c>
      <c r="N176" s="161">
        <v>970.7047619047619</v>
      </c>
      <c r="O176" s="161">
        <v>-9.866666666666666E-05</v>
      </c>
      <c r="P176" s="161">
        <v>0.12509333333333333</v>
      </c>
      <c r="Q176" s="161">
        <v>0.0022166666666666663</v>
      </c>
      <c r="R176" s="162">
        <v>1.9020000000000001</v>
      </c>
      <c r="S176" s="161">
        <v>149</v>
      </c>
      <c r="T176" s="161">
        <v>310</v>
      </c>
      <c r="U176" s="161"/>
      <c r="V176" s="162"/>
      <c r="W176" s="162"/>
      <c r="X176" s="51"/>
      <c r="Y176" s="51"/>
      <c r="Z176" s="51"/>
      <c r="AA176" s="51"/>
      <c r="AB176" s="51"/>
      <c r="AC176" s="152">
        <v>-20</v>
      </c>
      <c r="AD176" s="153">
        <v>40</v>
      </c>
      <c r="AE176" s="153">
        <v>100</v>
      </c>
      <c r="AF176" s="153">
        <v>160</v>
      </c>
      <c r="AG176" s="153">
        <v>220</v>
      </c>
      <c r="AH176" s="153">
        <v>280</v>
      </c>
      <c r="AI176" s="154">
        <v>982</v>
      </c>
      <c r="AJ176" s="154">
        <v>940</v>
      </c>
      <c r="AK176" s="154">
        <v>897</v>
      </c>
      <c r="AL176" s="154">
        <v>852</v>
      </c>
      <c r="AM176" s="154">
        <v>803</v>
      </c>
      <c r="AN176" s="154">
        <v>750</v>
      </c>
      <c r="AO176" s="155">
        <v>1.832</v>
      </c>
      <c r="AP176" s="155">
        <v>1.997</v>
      </c>
      <c r="AQ176" s="155">
        <v>2.144</v>
      </c>
      <c r="AR176" s="155">
        <v>2.276</v>
      </c>
      <c r="AS176" s="155">
        <v>2.393</v>
      </c>
      <c r="AT176" s="155">
        <v>2.499</v>
      </c>
      <c r="AU176" s="156">
        <v>0.1263</v>
      </c>
      <c r="AV176" s="156">
        <v>0.1212</v>
      </c>
      <c r="AW176" s="156">
        <v>0.1158</v>
      </c>
      <c r="AX176" s="156">
        <v>0.1101</v>
      </c>
      <c r="AY176" s="156">
        <v>0.1037</v>
      </c>
      <c r="AZ176" s="156">
        <v>0.0965</v>
      </c>
      <c r="BA176" s="157">
        <v>1180</v>
      </c>
      <c r="BB176" s="157">
        <v>10.1</v>
      </c>
      <c r="BC176" s="157">
        <v>2.26</v>
      </c>
      <c r="BD176" s="157">
        <v>0.931</v>
      </c>
      <c r="BE176" s="157">
        <v>0.48</v>
      </c>
      <c r="BF176" s="157">
        <v>0.28</v>
      </c>
      <c r="BG176" s="158">
        <v>0.00955</v>
      </c>
      <c r="BH176" s="158">
        <v>6.31</v>
      </c>
      <c r="BI176" s="158">
        <v>242</v>
      </c>
      <c r="BJ176" s="159" t="s">
        <v>417</v>
      </c>
      <c r="BK176" s="171"/>
    </row>
    <row r="177" spans="1:63" s="61" customFormat="1" ht="12.75" customHeight="1">
      <c r="A177" s="160" t="s">
        <v>423</v>
      </c>
      <c r="B177" s="161" t="s">
        <v>414</v>
      </c>
      <c r="C177" s="161" t="s">
        <v>424</v>
      </c>
      <c r="D177" s="161">
        <v>0</v>
      </c>
      <c r="E177" s="161">
        <v>345</v>
      </c>
      <c r="F177" s="161"/>
      <c r="G177" s="161">
        <v>8.49166359603601</v>
      </c>
      <c r="H177" s="161">
        <v>3904.1730704302836</v>
      </c>
      <c r="I177" s="161">
        <v>337.09859429790845</v>
      </c>
      <c r="J177" s="161">
        <v>-2.9608183977276</v>
      </c>
      <c r="K177" s="161">
        <v>798.1314837376021</v>
      </c>
      <c r="L177" s="161">
        <v>-188.78815720377847</v>
      </c>
      <c r="M177" s="161">
        <v>-0.700952380952381</v>
      </c>
      <c r="N177" s="161">
        <v>1022.8095238095237</v>
      </c>
      <c r="O177" s="161">
        <v>-7.90952380952381E-05</v>
      </c>
      <c r="P177" s="161">
        <v>0.12014761904761906</v>
      </c>
      <c r="Q177" s="161">
        <v>0.0035776190476190474</v>
      </c>
      <c r="R177" s="162">
        <v>1.4858571428571432</v>
      </c>
      <c r="S177" s="161">
        <v>170</v>
      </c>
      <c r="T177" s="161">
        <v>359</v>
      </c>
      <c r="U177" s="161" t="s">
        <v>425</v>
      </c>
      <c r="V177" s="162"/>
      <c r="W177" s="162"/>
      <c r="X177" s="51"/>
      <c r="Y177" s="51"/>
      <c r="Z177" s="51"/>
      <c r="AA177" s="51"/>
      <c r="AB177" s="51"/>
      <c r="AC177" s="152">
        <v>0</v>
      </c>
      <c r="AD177" s="153">
        <v>60</v>
      </c>
      <c r="AE177" s="153">
        <v>120</v>
      </c>
      <c r="AF177" s="153">
        <v>180</v>
      </c>
      <c r="AG177" s="153">
        <v>240</v>
      </c>
      <c r="AH177" s="153">
        <v>300</v>
      </c>
      <c r="AI177" s="154">
        <v>1020</v>
      </c>
      <c r="AJ177" s="154">
        <v>981</v>
      </c>
      <c r="AK177" s="154">
        <v>941</v>
      </c>
      <c r="AL177" s="154">
        <v>899</v>
      </c>
      <c r="AM177" s="154">
        <v>856</v>
      </c>
      <c r="AN177" s="154">
        <v>809</v>
      </c>
      <c r="AO177" s="155">
        <v>1.495</v>
      </c>
      <c r="AP177" s="155">
        <v>1.699</v>
      </c>
      <c r="AQ177" s="155">
        <v>1.908</v>
      </c>
      <c r="AR177" s="155">
        <v>2.122</v>
      </c>
      <c r="AS177" s="155">
        <v>2.342</v>
      </c>
      <c r="AT177" s="155">
        <v>2.569</v>
      </c>
      <c r="AU177" s="156">
        <v>0.1183</v>
      </c>
      <c r="AV177" s="156">
        <v>0.1158</v>
      </c>
      <c r="AW177" s="156">
        <v>0.1121</v>
      </c>
      <c r="AX177" s="156">
        <v>0.1074</v>
      </c>
      <c r="AY177" s="156">
        <v>0.1015</v>
      </c>
      <c r="AZ177" s="156">
        <v>0.0946</v>
      </c>
      <c r="BA177" s="157">
        <v>1320</v>
      </c>
      <c r="BB177" s="157">
        <v>11.5</v>
      </c>
      <c r="BC177" s="157">
        <v>2.42</v>
      </c>
      <c r="BD177" s="157">
        <v>1.06</v>
      </c>
      <c r="BE177" s="157">
        <v>0.611</v>
      </c>
      <c r="BF177" s="157">
        <v>0.413</v>
      </c>
      <c r="BG177" s="158">
        <v>0.0457</v>
      </c>
      <c r="BH177" s="158">
        <v>8.74</v>
      </c>
      <c r="BI177" s="158">
        <v>231</v>
      </c>
      <c r="BJ177" s="159" t="s">
        <v>417</v>
      </c>
      <c r="BK177" s="171"/>
    </row>
    <row r="178" spans="1:63" s="61" customFormat="1" ht="12.75" customHeight="1">
      <c r="A178" s="160" t="s">
        <v>426</v>
      </c>
      <c r="B178" s="161" t="s">
        <v>414</v>
      </c>
      <c r="C178" s="161" t="s">
        <v>427</v>
      </c>
      <c r="D178" s="161">
        <v>-10</v>
      </c>
      <c r="E178" s="161">
        <v>380</v>
      </c>
      <c r="F178" s="161"/>
      <c r="G178" s="161">
        <v>73.38287394812018</v>
      </c>
      <c r="H178" s="161">
        <v>710633.5073534216</v>
      </c>
      <c r="I178" s="161">
        <v>9808.291686869292</v>
      </c>
      <c r="J178" s="161">
        <v>-4.5393081381813865</v>
      </c>
      <c r="K178" s="161">
        <v>1495.1391491935656</v>
      </c>
      <c r="L178" s="161">
        <v>-83.80533396724977</v>
      </c>
      <c r="M178" s="161">
        <v>-0.909795918367347</v>
      </c>
      <c r="N178" s="161">
        <v>1097.9496598639457</v>
      </c>
      <c r="O178" s="161">
        <v>-0.0001214285714285714</v>
      </c>
      <c r="P178" s="161">
        <v>0.14198571428571427</v>
      </c>
      <c r="Q178" s="161">
        <v>0.0027089795918367344</v>
      </c>
      <c r="R178" s="162">
        <v>1.4981850340136058</v>
      </c>
      <c r="S178" s="161">
        <v>132</v>
      </c>
      <c r="T178" s="161">
        <v>271</v>
      </c>
      <c r="U178" s="161"/>
      <c r="V178" s="162"/>
      <c r="W178" s="162"/>
      <c r="X178" s="51"/>
      <c r="Y178" s="51"/>
      <c r="Z178" s="51"/>
      <c r="AA178" s="51"/>
      <c r="AB178" s="51"/>
      <c r="AC178" s="152">
        <v>-10</v>
      </c>
      <c r="AD178" s="153">
        <v>60</v>
      </c>
      <c r="AE178" s="153">
        <v>130</v>
      </c>
      <c r="AF178" s="153">
        <v>200</v>
      </c>
      <c r="AG178" s="153">
        <v>270</v>
      </c>
      <c r="AH178" s="153">
        <v>340</v>
      </c>
      <c r="AI178" s="154">
        <v>1110</v>
      </c>
      <c r="AJ178" s="154">
        <v>1040</v>
      </c>
      <c r="AK178" s="154">
        <v>979</v>
      </c>
      <c r="AL178" s="154">
        <v>916</v>
      </c>
      <c r="AM178" s="154">
        <v>853</v>
      </c>
      <c r="AN178" s="154">
        <v>789</v>
      </c>
      <c r="AO178" s="155">
        <v>1.471</v>
      </c>
      <c r="AP178" s="155">
        <v>1.661</v>
      </c>
      <c r="AQ178" s="155">
        <v>1.85</v>
      </c>
      <c r="AR178" s="155">
        <v>2.04</v>
      </c>
      <c r="AS178" s="155">
        <v>2.23</v>
      </c>
      <c r="AT178" s="155">
        <v>2.419</v>
      </c>
      <c r="AU178" s="156">
        <v>0.1432</v>
      </c>
      <c r="AV178" s="156">
        <v>0.1347</v>
      </c>
      <c r="AW178" s="156">
        <v>0.1262</v>
      </c>
      <c r="AX178" s="156">
        <v>0.1177</v>
      </c>
      <c r="AY178" s="156">
        <v>0.1092</v>
      </c>
      <c r="AZ178" s="156">
        <v>0.1007</v>
      </c>
      <c r="BA178" s="157">
        <v>383</v>
      </c>
      <c r="BB178" s="157">
        <v>3.5</v>
      </c>
      <c r="BC178" s="157">
        <v>1.05</v>
      </c>
      <c r="BD178" s="157">
        <v>0.497</v>
      </c>
      <c r="BE178" s="157">
        <v>0.284</v>
      </c>
      <c r="BF178" s="157">
        <v>0.18</v>
      </c>
      <c r="BG178" s="158">
        <v>23.5</v>
      </c>
      <c r="BH178" s="158">
        <v>239</v>
      </c>
      <c r="BI178" s="158">
        <v>2280</v>
      </c>
      <c r="BJ178" s="159" t="s">
        <v>417</v>
      </c>
      <c r="BK178" s="171"/>
    </row>
    <row r="179" spans="1:63" s="61" customFormat="1" ht="12.75" customHeight="1">
      <c r="A179" s="160" t="s">
        <v>428</v>
      </c>
      <c r="B179" s="161" t="s">
        <v>414</v>
      </c>
      <c r="C179" s="161" t="s">
        <v>429</v>
      </c>
      <c r="D179" s="161">
        <v>80</v>
      </c>
      <c r="E179" s="161">
        <v>385</v>
      </c>
      <c r="F179" s="161"/>
      <c r="G179" s="161">
        <v>8.208942696438168</v>
      </c>
      <c r="H179" s="161">
        <v>3443.03729363215</v>
      </c>
      <c r="I179" s="161">
        <v>303.32115221934566</v>
      </c>
      <c r="J179" s="161">
        <v>-4.973826909817286</v>
      </c>
      <c r="K179" s="161">
        <v>2294.824764108603</v>
      </c>
      <c r="L179" s="161">
        <v>4.200482262182036</v>
      </c>
      <c r="M179" s="161">
        <v>-0.800952380952381</v>
      </c>
      <c r="N179" s="161">
        <v>1109.2190476190476</v>
      </c>
      <c r="O179" s="161">
        <v>-8.923809523809528E-05</v>
      </c>
      <c r="P179" s="161">
        <v>0.1385914285714286</v>
      </c>
      <c r="Q179" s="161">
        <v>0.0024114285714285717</v>
      </c>
      <c r="R179" s="162">
        <v>1.5433714285714288</v>
      </c>
      <c r="S179" s="161">
        <v>185</v>
      </c>
      <c r="T179" s="161">
        <v>343</v>
      </c>
      <c r="U179" s="161"/>
      <c r="V179" s="162"/>
      <c r="W179" s="162"/>
      <c r="X179" s="51"/>
      <c r="Y179" s="51"/>
      <c r="Z179" s="51"/>
      <c r="AA179" s="51"/>
      <c r="AB179" s="51"/>
      <c r="AC179" s="152">
        <v>80</v>
      </c>
      <c r="AD179" s="153">
        <v>140</v>
      </c>
      <c r="AE179" s="153">
        <v>200</v>
      </c>
      <c r="AF179" s="153">
        <v>260</v>
      </c>
      <c r="AG179" s="153">
        <v>320</v>
      </c>
      <c r="AH179" s="153">
        <v>380</v>
      </c>
      <c r="AI179" s="154">
        <v>1040</v>
      </c>
      <c r="AJ179" s="154">
        <v>998</v>
      </c>
      <c r="AK179" s="154">
        <v>953</v>
      </c>
      <c r="AL179" s="154">
        <v>905</v>
      </c>
      <c r="AM179" s="154">
        <v>855</v>
      </c>
      <c r="AN179" s="154">
        <v>799</v>
      </c>
      <c r="AO179" s="155">
        <v>1.709</v>
      </c>
      <c r="AP179" s="155">
        <v>1.887</v>
      </c>
      <c r="AQ179" s="155">
        <v>2.048</v>
      </c>
      <c r="AR179" s="155">
        <v>2.191</v>
      </c>
      <c r="AS179" s="155">
        <v>2.319</v>
      </c>
      <c r="AT179" s="155">
        <v>2.434</v>
      </c>
      <c r="AU179" s="156">
        <v>0.1307</v>
      </c>
      <c r="AV179" s="156">
        <v>0.1262</v>
      </c>
      <c r="AW179" s="156">
        <v>0.1213</v>
      </c>
      <c r="AX179" s="156">
        <v>0.1161</v>
      </c>
      <c r="AY179" s="156">
        <v>0.1103</v>
      </c>
      <c r="AZ179" s="156">
        <v>0.1038</v>
      </c>
      <c r="BA179" s="157">
        <v>4.29</v>
      </c>
      <c r="BB179" s="157">
        <v>1.69</v>
      </c>
      <c r="BC179" s="157">
        <v>0.847</v>
      </c>
      <c r="BD179" s="157">
        <v>0.495</v>
      </c>
      <c r="BE179" s="157">
        <v>0.322</v>
      </c>
      <c r="BF179" s="157">
        <v>0.227</v>
      </c>
      <c r="BG179" s="158">
        <v>2.77</v>
      </c>
      <c r="BH179" s="158">
        <v>125</v>
      </c>
      <c r="BI179" s="158">
        <v>1480</v>
      </c>
      <c r="BJ179" s="159" t="s">
        <v>417</v>
      </c>
      <c r="BK179" s="171"/>
    </row>
    <row r="180" spans="1:63" s="61" customFormat="1" ht="12.75" customHeight="1">
      <c r="A180" s="160" t="s">
        <v>430</v>
      </c>
      <c r="B180" s="161" t="s">
        <v>414</v>
      </c>
      <c r="C180" s="161" t="s">
        <v>431</v>
      </c>
      <c r="D180" s="161">
        <v>-85</v>
      </c>
      <c r="E180" s="161">
        <v>230</v>
      </c>
      <c r="F180" s="161"/>
      <c r="G180" s="161">
        <v>6.8095482452130165</v>
      </c>
      <c r="H180" s="161">
        <v>1502.0865341350643</v>
      </c>
      <c r="I180" s="161">
        <v>190.34001313439379</v>
      </c>
      <c r="J180" s="161">
        <v>-4.242470696836298</v>
      </c>
      <c r="K180" s="161">
        <v>1070.6121696412267</v>
      </c>
      <c r="L180" s="161">
        <v>-58.835403307774385</v>
      </c>
      <c r="M180" s="161">
        <v>-0.7782857142857144</v>
      </c>
      <c r="N180" s="161">
        <v>774.6171428571429</v>
      </c>
      <c r="O180" s="161">
        <v>-0.00016865714285714284</v>
      </c>
      <c r="P180" s="161">
        <v>0.11206842857142857</v>
      </c>
      <c r="Q180" s="161">
        <v>0.004052</v>
      </c>
      <c r="R180" s="162">
        <v>2.02182</v>
      </c>
      <c r="S180" s="161">
        <v>59</v>
      </c>
      <c r="T180" s="161">
        <v>192</v>
      </c>
      <c r="U180" s="161"/>
      <c r="V180" s="162"/>
      <c r="W180" s="162"/>
      <c r="X180" s="51"/>
      <c r="Y180" s="51"/>
      <c r="Z180" s="51"/>
      <c r="AA180" s="51"/>
      <c r="AB180" s="51"/>
      <c r="AC180" s="152">
        <v>-85</v>
      </c>
      <c r="AD180" s="153">
        <v>-35</v>
      </c>
      <c r="AE180" s="153">
        <v>15</v>
      </c>
      <c r="AF180" s="153">
        <v>65</v>
      </c>
      <c r="AG180" s="153">
        <v>115</v>
      </c>
      <c r="AH180" s="153">
        <v>215</v>
      </c>
      <c r="AI180" s="154">
        <v>835</v>
      </c>
      <c r="AJ180" s="154">
        <v>801</v>
      </c>
      <c r="AK180" s="154">
        <v>766</v>
      </c>
      <c r="AL180" s="154">
        <v>729</v>
      </c>
      <c r="AM180" s="154">
        <v>691</v>
      </c>
      <c r="AN180" s="154">
        <v>600</v>
      </c>
      <c r="AO180" s="155">
        <v>1.694</v>
      </c>
      <c r="AP180" s="155">
        <v>1.881</v>
      </c>
      <c r="AQ180" s="155">
        <v>2.073</v>
      </c>
      <c r="AR180" s="155">
        <v>2.271</v>
      </c>
      <c r="AS180" s="155">
        <v>2.476</v>
      </c>
      <c r="AT180" s="155">
        <v>2.911</v>
      </c>
      <c r="AU180" s="156">
        <v>0.1244</v>
      </c>
      <c r="AV180" s="156">
        <v>0.118</v>
      </c>
      <c r="AW180" s="156">
        <v>0.1107</v>
      </c>
      <c r="AX180" s="156">
        <v>0.1027</v>
      </c>
      <c r="AY180" s="156">
        <v>0.0939</v>
      </c>
      <c r="AZ180" s="156">
        <v>0.0738</v>
      </c>
      <c r="BA180" s="157">
        <v>359</v>
      </c>
      <c r="BB180" s="157">
        <v>5.63</v>
      </c>
      <c r="BC180" s="157">
        <v>1.38</v>
      </c>
      <c r="BD180" s="157">
        <v>0.664</v>
      </c>
      <c r="BE180" s="157">
        <v>0.395</v>
      </c>
      <c r="BF180" s="157">
        <v>0.174</v>
      </c>
      <c r="BG180" s="158">
        <v>0.00138</v>
      </c>
      <c r="BH180" s="158">
        <v>8.45</v>
      </c>
      <c r="BI180" s="158">
        <v>1270</v>
      </c>
      <c r="BJ180" s="159" t="s">
        <v>417</v>
      </c>
      <c r="BK180" s="171"/>
    </row>
    <row r="181" spans="1:63" s="61" customFormat="1" ht="12.75" customHeight="1">
      <c r="A181" s="160" t="s">
        <v>432</v>
      </c>
      <c r="B181" s="161" t="s">
        <v>414</v>
      </c>
      <c r="C181" s="161" t="s">
        <v>433</v>
      </c>
      <c r="D181" s="161">
        <v>-75</v>
      </c>
      <c r="E181" s="161">
        <v>315</v>
      </c>
      <c r="F181" s="161"/>
      <c r="G181" s="161">
        <v>7.934489337527017</v>
      </c>
      <c r="H181" s="161">
        <v>2207.4430662163923</v>
      </c>
      <c r="I181" s="161">
        <v>255.7319204317863</v>
      </c>
      <c r="J181" s="161">
        <v>-4.457077011459352</v>
      </c>
      <c r="K181" s="161">
        <v>1355.5856529806467</v>
      </c>
      <c r="L181" s="161">
        <v>16.359349322660215</v>
      </c>
      <c r="M181" s="161">
        <v>-0.9064705882352941</v>
      </c>
      <c r="N181" s="161">
        <v>880.3186274509804</v>
      </c>
      <c r="O181" s="161">
        <v>-0.0001992941176470588</v>
      </c>
      <c r="P181" s="161">
        <v>0.12841372549019608</v>
      </c>
      <c r="Q181" s="161">
        <v>0.0037058823529411773</v>
      </c>
      <c r="R181" s="162">
        <v>1.7190588235294118</v>
      </c>
      <c r="S181" s="161">
        <v>57</v>
      </c>
      <c r="T181" s="161">
        <v>181</v>
      </c>
      <c r="U181" s="161"/>
      <c r="V181" s="162"/>
      <c r="W181" s="162"/>
      <c r="X181" s="51"/>
      <c r="Y181" s="51"/>
      <c r="Z181" s="51"/>
      <c r="AA181" s="51"/>
      <c r="AB181" s="51"/>
      <c r="AC181" s="152">
        <v>-75</v>
      </c>
      <c r="AD181" s="153">
        <v>-25</v>
      </c>
      <c r="AE181" s="153">
        <v>25</v>
      </c>
      <c r="AF181" s="153">
        <v>75</v>
      </c>
      <c r="AG181" s="153">
        <v>175</v>
      </c>
      <c r="AH181" s="153">
        <v>275</v>
      </c>
      <c r="AI181" s="154">
        <v>939</v>
      </c>
      <c r="AJ181" s="154">
        <v>901</v>
      </c>
      <c r="AK181" s="154">
        <v>862</v>
      </c>
      <c r="AL181" s="154">
        <v>821</v>
      </c>
      <c r="AM181" s="154">
        <v>732</v>
      </c>
      <c r="AN181" s="154">
        <v>619</v>
      </c>
      <c r="AO181" s="155">
        <v>1.432</v>
      </c>
      <c r="AP181" s="155">
        <v>1.629</v>
      </c>
      <c r="AQ181" s="155">
        <v>1.82</v>
      </c>
      <c r="AR181" s="155">
        <v>2.004</v>
      </c>
      <c r="AS181" s="155">
        <v>2.357</v>
      </c>
      <c r="AT181" s="155">
        <v>2.74</v>
      </c>
      <c r="AU181" s="156">
        <v>0.1429</v>
      </c>
      <c r="AV181" s="156">
        <v>0.1334</v>
      </c>
      <c r="AW181" s="156">
        <v>0.1237</v>
      </c>
      <c r="AX181" s="156">
        <v>0.1138</v>
      </c>
      <c r="AY181" s="156">
        <v>0.0938</v>
      </c>
      <c r="AZ181" s="156">
        <v>0.0732</v>
      </c>
      <c r="BA181" s="157">
        <v>11</v>
      </c>
      <c r="BB181" s="157">
        <v>1.95</v>
      </c>
      <c r="BC181" s="157">
        <v>0.831</v>
      </c>
      <c r="BD181" s="157">
        <v>0.478</v>
      </c>
      <c r="BE181" s="157">
        <v>0.223</v>
      </c>
      <c r="BF181" s="157">
        <v>0.128</v>
      </c>
      <c r="BG181" s="158">
        <v>0.0233</v>
      </c>
      <c r="BH181" s="158">
        <v>18.2</v>
      </c>
      <c r="BI181" s="158">
        <v>5960</v>
      </c>
      <c r="BJ181" s="159" t="s">
        <v>417</v>
      </c>
      <c r="BK181" s="171"/>
    </row>
    <row r="182" spans="1:63" s="61" customFormat="1" ht="12.75" customHeight="1">
      <c r="A182" s="160" t="s">
        <v>434</v>
      </c>
      <c r="B182" s="161" t="s">
        <v>414</v>
      </c>
      <c r="C182" s="161" t="s">
        <v>435</v>
      </c>
      <c r="D182" s="161">
        <v>-115</v>
      </c>
      <c r="E182" s="161">
        <v>175</v>
      </c>
      <c r="F182" s="161"/>
      <c r="G182" s="161">
        <v>6.907778118924059</v>
      </c>
      <c r="H182" s="161">
        <v>1331.2905322947377</v>
      </c>
      <c r="I182" s="161">
        <v>231.38130390525598</v>
      </c>
      <c r="J182" s="161">
        <v>-4.859080096083118</v>
      </c>
      <c r="K182" s="161">
        <v>1392.5266965712622</v>
      </c>
      <c r="L182" s="161">
        <v>19.058827599094244</v>
      </c>
      <c r="M182" s="161">
        <v>-0.8788571428571429</v>
      </c>
      <c r="N182" s="161">
        <v>763.1219047619048</v>
      </c>
      <c r="O182" s="161">
        <v>-0.00021245714285714282</v>
      </c>
      <c r="P182" s="161">
        <v>0.10692457142857144</v>
      </c>
      <c r="Q182" s="161">
        <v>0.0042274285714285695</v>
      </c>
      <c r="R182" s="162">
        <v>1.866392380952381</v>
      </c>
      <c r="S182" s="161">
        <v>-6.2</v>
      </c>
      <c r="T182" s="161">
        <v>99.2</v>
      </c>
      <c r="U182" s="161"/>
      <c r="V182" s="162"/>
      <c r="W182" s="162"/>
      <c r="X182" s="51"/>
      <c r="Y182" s="51"/>
      <c r="Z182" s="51"/>
      <c r="AA182" s="51"/>
      <c r="AB182" s="51"/>
      <c r="AC182" s="152">
        <v>-115</v>
      </c>
      <c r="AD182" s="153">
        <v>-65</v>
      </c>
      <c r="AE182" s="153">
        <v>-15</v>
      </c>
      <c r="AF182" s="153">
        <v>35</v>
      </c>
      <c r="AG182" s="153">
        <v>85</v>
      </c>
      <c r="AH182" s="153">
        <v>135</v>
      </c>
      <c r="AI182" s="154">
        <v>862</v>
      </c>
      <c r="AJ182" s="154">
        <v>820</v>
      </c>
      <c r="AK182" s="154">
        <v>778</v>
      </c>
      <c r="AL182" s="154">
        <v>735</v>
      </c>
      <c r="AM182" s="154">
        <v>690</v>
      </c>
      <c r="AN182" s="154">
        <v>641</v>
      </c>
      <c r="AO182" s="155">
        <v>1.374</v>
      </c>
      <c r="AP182" s="155">
        <v>1.594</v>
      </c>
      <c r="AQ182" s="155">
        <v>1.808</v>
      </c>
      <c r="AR182" s="155">
        <v>2.018</v>
      </c>
      <c r="AS182" s="155">
        <v>2.225</v>
      </c>
      <c r="AT182" s="155">
        <v>2.433</v>
      </c>
      <c r="AU182" s="156">
        <v>0.1304</v>
      </c>
      <c r="AV182" s="156">
        <v>0.1208</v>
      </c>
      <c r="AW182" s="156">
        <v>0.1109</v>
      </c>
      <c r="AX182" s="156">
        <v>0.1004</v>
      </c>
      <c r="AY182" s="156">
        <v>0.0892</v>
      </c>
      <c r="AZ182" s="156">
        <v>0.0771</v>
      </c>
      <c r="BA182" s="157">
        <v>45.4</v>
      </c>
      <c r="BB182" s="157">
        <v>3.56</v>
      </c>
      <c r="BC182" s="157">
        <v>1.12</v>
      </c>
      <c r="BD182" s="157">
        <v>0.547</v>
      </c>
      <c r="BE182" s="157">
        <v>0.319</v>
      </c>
      <c r="BF182" s="157">
        <v>0.202</v>
      </c>
      <c r="BG182" s="158">
        <v>0.0806</v>
      </c>
      <c r="BH182" s="158">
        <v>81.3</v>
      </c>
      <c r="BI182" s="158">
        <v>1880</v>
      </c>
      <c r="BJ182" s="159" t="s">
        <v>417</v>
      </c>
      <c r="BK182" s="171"/>
    </row>
    <row r="183" spans="1:63" s="61" customFormat="1" ht="12.75" customHeight="1">
      <c r="A183" s="160" t="s">
        <v>436</v>
      </c>
      <c r="B183" s="161" t="s">
        <v>414</v>
      </c>
      <c r="C183" s="161" t="s">
        <v>437</v>
      </c>
      <c r="D183" s="161">
        <v>12</v>
      </c>
      <c r="E183" s="161">
        <v>400</v>
      </c>
      <c r="F183" s="161"/>
      <c r="G183" s="161">
        <v>7.103625060700425</v>
      </c>
      <c r="H183" s="161">
        <v>1867.1931966218517</v>
      </c>
      <c r="I183" s="161">
        <v>185.10891090650858</v>
      </c>
      <c r="J183" s="161">
        <v>-4.083550073204068</v>
      </c>
      <c r="K183" s="161">
        <v>1380.2383288749315</v>
      </c>
      <c r="L183" s="161">
        <v>-35.34009533376787</v>
      </c>
      <c r="M183" s="161">
        <v>-0.9271428571428572</v>
      </c>
      <c r="N183" s="161">
        <v>1089.4685714285715</v>
      </c>
      <c r="O183" s="161">
        <v>-0.00015330952380952382</v>
      </c>
      <c r="P183" s="161">
        <v>0.14195257142857143</v>
      </c>
      <c r="Q183" s="161">
        <v>0.00276404761904762</v>
      </c>
      <c r="R183" s="162">
        <v>1.4944171428571424</v>
      </c>
      <c r="S183" s="161">
        <v>110</v>
      </c>
      <c r="T183" s="161">
        <v>257</v>
      </c>
      <c r="U183" s="161"/>
      <c r="V183" s="162"/>
      <c r="W183" s="162"/>
      <c r="X183" s="51"/>
      <c r="Y183" s="51"/>
      <c r="Z183" s="51"/>
      <c r="AA183" s="51"/>
      <c r="AB183" s="51"/>
      <c r="AC183" s="152">
        <v>12</v>
      </c>
      <c r="AD183" s="153">
        <v>72</v>
      </c>
      <c r="AE183" s="153">
        <v>132</v>
      </c>
      <c r="AF183" s="153">
        <v>192</v>
      </c>
      <c r="AG183" s="153">
        <v>252</v>
      </c>
      <c r="AH183" s="153">
        <v>372</v>
      </c>
      <c r="AI183" s="154">
        <v>1070</v>
      </c>
      <c r="AJ183" s="154">
        <v>1020</v>
      </c>
      <c r="AK183" s="154">
        <v>972</v>
      </c>
      <c r="AL183" s="154">
        <v>920</v>
      </c>
      <c r="AM183" s="154">
        <v>865</v>
      </c>
      <c r="AN183" s="154">
        <v>733</v>
      </c>
      <c r="AO183" s="155">
        <v>1.523</v>
      </c>
      <c r="AP183" s="155">
        <v>1.696</v>
      </c>
      <c r="AQ183" s="155">
        <v>1.864</v>
      </c>
      <c r="AR183" s="155">
        <v>2.027</v>
      </c>
      <c r="AS183" s="155">
        <v>2.186</v>
      </c>
      <c r="AT183" s="155">
        <v>2.523</v>
      </c>
      <c r="AU183" s="156">
        <v>0.137</v>
      </c>
      <c r="AV183" s="156">
        <v>0.1309</v>
      </c>
      <c r="AW183" s="156">
        <v>0.1236</v>
      </c>
      <c r="AX183" s="156">
        <v>0.115</v>
      </c>
      <c r="AY183" s="156">
        <v>0.1052</v>
      </c>
      <c r="AZ183" s="156">
        <v>0.0818</v>
      </c>
      <c r="BA183" s="157">
        <v>5.48</v>
      </c>
      <c r="BB183" s="157">
        <v>1.45</v>
      </c>
      <c r="BC183" s="157">
        <v>0.693</v>
      </c>
      <c r="BD183" s="157">
        <v>0.418</v>
      </c>
      <c r="BE183" s="157">
        <v>0.284</v>
      </c>
      <c r="BF183" s="157">
        <v>0.209</v>
      </c>
      <c r="BG183" s="158">
        <v>0.694</v>
      </c>
      <c r="BH183" s="158">
        <v>142</v>
      </c>
      <c r="BI183" s="158">
        <v>5650</v>
      </c>
      <c r="BJ183" s="159" t="s">
        <v>417</v>
      </c>
      <c r="BK183" s="171"/>
    </row>
    <row r="184" spans="1:63" s="61" customFormat="1" ht="12.75" customHeight="1">
      <c r="A184" s="160" t="s">
        <v>438</v>
      </c>
      <c r="B184" s="161" t="s">
        <v>414</v>
      </c>
      <c r="C184" s="161" t="s">
        <v>439</v>
      </c>
      <c r="D184" s="161">
        <v>2</v>
      </c>
      <c r="E184" s="161">
        <v>330</v>
      </c>
      <c r="F184" s="161"/>
      <c r="G184" s="161">
        <v>8.518911489677139</v>
      </c>
      <c r="H184" s="161">
        <v>2824.4219496914493</v>
      </c>
      <c r="I184" s="161">
        <v>258.04112057358765</v>
      </c>
      <c r="J184" s="161">
        <v>-5.231028488442387</v>
      </c>
      <c r="K184" s="161">
        <v>2426.3810310961712</v>
      </c>
      <c r="L184" s="161">
        <v>97.63429133900638</v>
      </c>
      <c r="M184" s="161">
        <v>-0.8523809523809524</v>
      </c>
      <c r="N184" s="161">
        <v>959.8952380952381</v>
      </c>
      <c r="O184" s="161">
        <v>-0.0001338095238095238</v>
      </c>
      <c r="P184" s="161">
        <v>0.12027238095238095</v>
      </c>
      <c r="Q184" s="161">
        <v>0.00405142857142857</v>
      </c>
      <c r="R184" s="162">
        <v>1.530849523809524</v>
      </c>
      <c r="S184" s="161">
        <v>104</v>
      </c>
      <c r="T184" s="161">
        <v>243</v>
      </c>
      <c r="U184" s="161"/>
      <c r="V184" s="162"/>
      <c r="W184" s="162"/>
      <c r="X184" s="51"/>
      <c r="Y184" s="51"/>
      <c r="Z184" s="51"/>
      <c r="AA184" s="51"/>
      <c r="AB184" s="51"/>
      <c r="AC184" s="152">
        <v>2</v>
      </c>
      <c r="AD184" s="153">
        <v>62</v>
      </c>
      <c r="AE184" s="153">
        <v>122</v>
      </c>
      <c r="AF184" s="153">
        <v>182</v>
      </c>
      <c r="AG184" s="153">
        <v>242</v>
      </c>
      <c r="AH184" s="153">
        <v>302</v>
      </c>
      <c r="AI184" s="154">
        <v>942</v>
      </c>
      <c r="AJ184" s="154">
        <v>909</v>
      </c>
      <c r="AK184" s="154">
        <v>869</v>
      </c>
      <c r="AL184" s="154">
        <v>819</v>
      </c>
      <c r="AM184" s="154">
        <v>759</v>
      </c>
      <c r="AN184" s="154">
        <v>684</v>
      </c>
      <c r="AO184" s="155">
        <v>1.516</v>
      </c>
      <c r="AP184" s="155">
        <v>1.798</v>
      </c>
      <c r="AQ184" s="155">
        <v>2.048</v>
      </c>
      <c r="AR184" s="155">
        <v>2.272</v>
      </c>
      <c r="AS184" s="155">
        <v>2.486</v>
      </c>
      <c r="AT184" s="155">
        <v>2.76</v>
      </c>
      <c r="AU184" s="156">
        <v>0.1197</v>
      </c>
      <c r="AV184" s="156">
        <v>0.112</v>
      </c>
      <c r="AW184" s="156">
        <v>0.1042</v>
      </c>
      <c r="AX184" s="156">
        <v>0.0962</v>
      </c>
      <c r="AY184" s="156">
        <v>0.088</v>
      </c>
      <c r="AZ184" s="156">
        <v>0.0795</v>
      </c>
      <c r="BA184" s="157">
        <v>5.08</v>
      </c>
      <c r="BB184" s="157">
        <v>1.29</v>
      </c>
      <c r="BC184" s="157">
        <v>0.67</v>
      </c>
      <c r="BD184" s="157">
        <v>0.431</v>
      </c>
      <c r="BE184" s="157">
        <v>0.292</v>
      </c>
      <c r="BF184" s="157">
        <v>0.197</v>
      </c>
      <c r="BG184" s="158">
        <v>0.494</v>
      </c>
      <c r="BH184" s="158">
        <v>126</v>
      </c>
      <c r="BI184" s="158">
        <v>2990</v>
      </c>
      <c r="BJ184" s="159" t="s">
        <v>417</v>
      </c>
      <c r="BK184" s="171"/>
    </row>
    <row r="185" spans="1:63" s="61" customFormat="1" ht="12.75" customHeight="1">
      <c r="A185" s="160" t="s">
        <v>440</v>
      </c>
      <c r="B185" s="161" t="s">
        <v>414</v>
      </c>
      <c r="C185" s="161" t="s">
        <v>350</v>
      </c>
      <c r="D185" s="161">
        <v>-20</v>
      </c>
      <c r="E185" s="161">
        <v>315</v>
      </c>
      <c r="F185" s="161"/>
      <c r="G185" s="161">
        <v>7.7922863581614985</v>
      </c>
      <c r="H185" s="161">
        <v>2928.8935651100433</v>
      </c>
      <c r="I185" s="161">
        <v>238.16746817642758</v>
      </c>
      <c r="J185" s="161">
        <v>-3.269090228704097</v>
      </c>
      <c r="K185" s="161">
        <v>948.0820445643526</v>
      </c>
      <c r="L185" s="161">
        <v>-162.9543285541285</v>
      </c>
      <c r="M185" s="161">
        <v>-0.6588571428571429</v>
      </c>
      <c r="N185" s="161">
        <v>891.8371428571428</v>
      </c>
      <c r="O185" s="161">
        <v>-9.465714285714283E-05</v>
      </c>
      <c r="P185" s="161">
        <v>0.11761114285714286</v>
      </c>
      <c r="Q185" s="161">
        <v>0.0042291428571428575</v>
      </c>
      <c r="R185" s="162">
        <v>1.7366971428571425</v>
      </c>
      <c r="S185" s="161">
        <v>199</v>
      </c>
      <c r="T185" s="161">
        <v>358</v>
      </c>
      <c r="U185" s="161"/>
      <c r="V185" s="162"/>
      <c r="W185" s="162"/>
      <c r="X185" s="51"/>
      <c r="Y185" s="51"/>
      <c r="Z185" s="51"/>
      <c r="AA185" s="51"/>
      <c r="AB185" s="51"/>
      <c r="AC185" s="152">
        <v>-20</v>
      </c>
      <c r="AD185" s="153">
        <v>30</v>
      </c>
      <c r="AE185" s="153">
        <v>80</v>
      </c>
      <c r="AF185" s="153">
        <v>130</v>
      </c>
      <c r="AG185" s="153">
        <v>180</v>
      </c>
      <c r="AH185" s="153">
        <v>280</v>
      </c>
      <c r="AI185" s="154">
        <v>903</v>
      </c>
      <c r="AJ185" s="154">
        <v>872</v>
      </c>
      <c r="AK185" s="154">
        <v>840</v>
      </c>
      <c r="AL185" s="154">
        <v>808</v>
      </c>
      <c r="AM185" s="154">
        <v>775</v>
      </c>
      <c r="AN185" s="154">
        <v>705</v>
      </c>
      <c r="AO185" s="155">
        <v>1.617</v>
      </c>
      <c r="AP185" s="155">
        <v>1.864</v>
      </c>
      <c r="AQ185" s="155">
        <v>2.096</v>
      </c>
      <c r="AR185" s="155">
        <v>2.314</v>
      </c>
      <c r="AS185" s="155">
        <v>2.519</v>
      </c>
      <c r="AT185" s="155">
        <v>2.886</v>
      </c>
      <c r="AU185" s="156">
        <v>0.118</v>
      </c>
      <c r="AV185" s="156">
        <v>0.1148</v>
      </c>
      <c r="AW185" s="156">
        <v>0.1109</v>
      </c>
      <c r="AX185" s="156">
        <v>0.1065</v>
      </c>
      <c r="AY185" s="156">
        <v>0.1015</v>
      </c>
      <c r="AZ185" s="156">
        <v>0.0896</v>
      </c>
      <c r="BA185" s="157">
        <v>1840</v>
      </c>
      <c r="BB185" s="157">
        <v>32.9</v>
      </c>
      <c r="BC185" s="157">
        <v>5.33</v>
      </c>
      <c r="BD185" s="157">
        <v>1.97</v>
      </c>
      <c r="BE185" s="157">
        <v>1.03</v>
      </c>
      <c r="BF185" s="157">
        <v>0.432</v>
      </c>
      <c r="BG185" s="158">
        <v>0.000742</v>
      </c>
      <c r="BH185" s="158">
        <v>0.687</v>
      </c>
      <c r="BI185" s="158">
        <v>138</v>
      </c>
      <c r="BJ185" s="159" t="s">
        <v>417</v>
      </c>
      <c r="BK185" s="171"/>
    </row>
    <row r="186" spans="1:63" s="61" customFormat="1" ht="12.75" customHeight="1">
      <c r="A186" s="160" t="s">
        <v>20</v>
      </c>
      <c r="B186" s="161" t="s">
        <v>441</v>
      </c>
      <c r="C186" s="161" t="s">
        <v>442</v>
      </c>
      <c r="D186" s="161">
        <v>4</v>
      </c>
      <c r="E186" s="161">
        <v>150</v>
      </c>
      <c r="F186" s="161"/>
      <c r="G186" s="161">
        <v>8.02764441666169</v>
      </c>
      <c r="H186" s="161">
        <v>1706.134187728992</v>
      </c>
      <c r="I186" s="161">
        <v>231.4921834319703</v>
      </c>
      <c r="J186" s="161">
        <v>-3.6337668896736464</v>
      </c>
      <c r="K186" s="161">
        <v>544.0166778967492</v>
      </c>
      <c r="L186" s="161">
        <v>-144.08898131664762</v>
      </c>
      <c r="M186" s="161">
        <v>-0.45804255143182016</v>
      </c>
      <c r="N186" s="161">
        <v>1006.3465459940039</v>
      </c>
      <c r="O186" s="161">
        <v>0.0011751749695027396</v>
      </c>
      <c r="P186" s="161">
        <v>0.5689034909914193</v>
      </c>
      <c r="Q186" s="161">
        <v>0.00017022640339088408</v>
      </c>
      <c r="R186" s="162">
        <v>4.192981453530446</v>
      </c>
      <c r="S186" s="161">
        <v>0</v>
      </c>
      <c r="T186" s="161">
        <v>100</v>
      </c>
      <c r="U186" s="161"/>
      <c r="V186" s="162">
        <v>18.02</v>
      </c>
      <c r="W186" s="162">
        <v>2260</v>
      </c>
      <c r="X186" s="51"/>
      <c r="Y186" s="51"/>
      <c r="Z186" s="51"/>
      <c r="AA186" s="51"/>
      <c r="AB186" s="51"/>
      <c r="AC186" s="152">
        <v>4</v>
      </c>
      <c r="AD186" s="153">
        <v>25</v>
      </c>
      <c r="AE186" s="153">
        <v>50</v>
      </c>
      <c r="AF186" s="153">
        <v>80</v>
      </c>
      <c r="AG186" s="153">
        <v>100</v>
      </c>
      <c r="AH186" s="153">
        <v>100</v>
      </c>
      <c r="AI186" s="154">
        <v>1000</v>
      </c>
      <c r="AJ186" s="154">
        <v>997.045</v>
      </c>
      <c r="AK186" s="154">
        <v>988.037</v>
      </c>
      <c r="AL186" s="154">
        <v>971.83</v>
      </c>
      <c r="AM186" s="154">
        <v>958.365</v>
      </c>
      <c r="AN186" s="154">
        <v>958.365</v>
      </c>
      <c r="AO186" s="155">
        <v>4.216</v>
      </c>
      <c r="AP186" s="155">
        <v>4.183</v>
      </c>
      <c r="AQ186" s="155">
        <v>4.183</v>
      </c>
      <c r="AR186" s="155">
        <v>4.199</v>
      </c>
      <c r="AS186" s="155">
        <v>4.219</v>
      </c>
      <c r="AT186" s="155">
        <v>4.219</v>
      </c>
      <c r="AU186" s="156">
        <v>0.56421961</v>
      </c>
      <c r="AV186" s="156">
        <v>0.5988343099999999</v>
      </c>
      <c r="AW186" s="156">
        <v>0.642102685</v>
      </c>
      <c r="AX186" s="156">
        <v>0.669794445</v>
      </c>
      <c r="AY186" s="156">
        <v>0.680178855</v>
      </c>
      <c r="AZ186" s="156">
        <v>0.680178855</v>
      </c>
      <c r="BA186" s="157">
        <v>1.5674</v>
      </c>
      <c r="BB186" s="157">
        <v>0.8937</v>
      </c>
      <c r="BC186" s="157">
        <v>0.5494</v>
      </c>
      <c r="BD186" s="157">
        <v>0.3565</v>
      </c>
      <c r="BE186" s="157">
        <v>0.2838</v>
      </c>
      <c r="BF186" s="157">
        <v>0.2838</v>
      </c>
      <c r="BG186" s="158">
        <v>23.76</v>
      </c>
      <c r="BH186" s="158">
        <v>355.1</v>
      </c>
      <c r="BI186" s="158">
        <v>760</v>
      </c>
      <c r="BJ186" s="159">
        <v>0</v>
      </c>
      <c r="BK186" s="171"/>
    </row>
    <row r="187" spans="1:63" s="61" customFormat="1" ht="12.75" customHeight="1">
      <c r="A187" s="160" t="s">
        <v>443</v>
      </c>
      <c r="B187" s="161" t="s">
        <v>119</v>
      </c>
      <c r="C187" s="161" t="s">
        <v>444</v>
      </c>
      <c r="D187" s="161">
        <v>20</v>
      </c>
      <c r="E187" s="161">
        <v>288</v>
      </c>
      <c r="F187" s="161"/>
      <c r="G187" s="161">
        <v>16.78295974212474</v>
      </c>
      <c r="H187" s="161">
        <v>15071.008222068123</v>
      </c>
      <c r="I187" s="161">
        <v>735.1176662401406</v>
      </c>
      <c r="J187" s="161">
        <v>-2.9933252355149635</v>
      </c>
      <c r="K187" s="161">
        <v>961.1818080896745</v>
      </c>
      <c r="L187" s="161">
        <v>-171.12774493380812</v>
      </c>
      <c r="M187" s="161">
        <v>-0.4894171926793446</v>
      </c>
      <c r="N187" s="161">
        <v>875.5651988646691</v>
      </c>
      <c r="O187" s="161">
        <v>-6.219865709592067E-05</v>
      </c>
      <c r="P187" s="161">
        <v>0.1338866049701996</v>
      </c>
      <c r="Q187" s="161">
        <v>0.003762841861796018</v>
      </c>
      <c r="R187" s="162">
        <v>2.0431431054755387</v>
      </c>
      <c r="S187" s="161">
        <v>229</v>
      </c>
      <c r="T187" s="161">
        <v>357</v>
      </c>
      <c r="U187" s="161" t="s">
        <v>166</v>
      </c>
      <c r="V187" s="162"/>
      <c r="W187" s="162"/>
      <c r="X187" s="51"/>
      <c r="Y187" s="51"/>
      <c r="Z187" s="51"/>
      <c r="AA187" s="51"/>
      <c r="AB187" s="51"/>
      <c r="AC187" s="152">
        <v>10</v>
      </c>
      <c r="AD187" s="153">
        <v>26.7</v>
      </c>
      <c r="AE187" s="153">
        <v>104.4</v>
      </c>
      <c r="AF187" s="153">
        <v>171.1</v>
      </c>
      <c r="AG187" s="153">
        <v>226.7</v>
      </c>
      <c r="AH187" s="153">
        <v>287.8</v>
      </c>
      <c r="AI187" s="154">
        <v>870.7</v>
      </c>
      <c r="AJ187" s="154">
        <v>862.51</v>
      </c>
      <c r="AK187" s="154">
        <v>824.42</v>
      </c>
      <c r="AL187" s="154">
        <v>791.8</v>
      </c>
      <c r="AM187" s="154">
        <v>764.63</v>
      </c>
      <c r="AN187" s="154">
        <v>734.73</v>
      </c>
      <c r="AO187" s="155">
        <v>2.0817</v>
      </c>
      <c r="AP187" s="155">
        <v>2.1428</v>
      </c>
      <c r="AQ187" s="155">
        <v>2.4358</v>
      </c>
      <c r="AR187" s="155">
        <v>2.6869</v>
      </c>
      <c r="AS187" s="155">
        <v>2.8961</v>
      </c>
      <c r="AT187" s="155">
        <v>3.1263</v>
      </c>
      <c r="AU187" s="156">
        <v>0.1333</v>
      </c>
      <c r="AV187" s="156">
        <v>0.1322</v>
      </c>
      <c r="AW187" s="156">
        <v>0.1274</v>
      </c>
      <c r="AX187" s="156">
        <v>0.1232</v>
      </c>
      <c r="AY187" s="156">
        <v>0.1198</v>
      </c>
      <c r="AZ187" s="156">
        <v>0.116</v>
      </c>
      <c r="BA187" s="157">
        <v>318.94</v>
      </c>
      <c r="BB187" s="157">
        <v>87.687</v>
      </c>
      <c r="BC187" s="157">
        <v>5.306</v>
      </c>
      <c r="BD187" s="157">
        <v>1.692</v>
      </c>
      <c r="BE187" s="157">
        <v>0.931</v>
      </c>
      <c r="BF187" s="157">
        <v>0.59</v>
      </c>
      <c r="BG187" s="158">
        <v>0.001</v>
      </c>
      <c r="BH187" s="158">
        <v>1.42</v>
      </c>
      <c r="BI187" s="158">
        <v>112.1</v>
      </c>
      <c r="BJ187" s="159" t="s">
        <v>126</v>
      </c>
      <c r="BK187" s="171"/>
    </row>
    <row r="188" spans="1:63" s="61" customFormat="1" ht="12.75" customHeight="1">
      <c r="A188" s="160" t="s">
        <v>445</v>
      </c>
      <c r="B188" s="161" t="s">
        <v>119</v>
      </c>
      <c r="C188" s="161" t="s">
        <v>446</v>
      </c>
      <c r="D188" s="161">
        <v>-62</v>
      </c>
      <c r="E188" s="161">
        <v>260</v>
      </c>
      <c r="F188" s="161"/>
      <c r="G188" s="161">
        <v>13.386097567204423</v>
      </c>
      <c r="H188" s="161">
        <v>9928.19374294618</v>
      </c>
      <c r="I188" s="161">
        <v>645.8912869417263</v>
      </c>
      <c r="J188" s="161">
        <v>-3.259105076350181</v>
      </c>
      <c r="K188" s="161">
        <v>832.2063504564011</v>
      </c>
      <c r="L188" s="161">
        <v>-139.37414794050835</v>
      </c>
      <c r="M188" s="161">
        <v>-0.610420175479985</v>
      </c>
      <c r="N188" s="161">
        <v>802.2908323708672</v>
      </c>
      <c r="O188" s="161">
        <v>-5.5928988456559744E-05</v>
      </c>
      <c r="P188" s="161">
        <v>0.13773873655111601</v>
      </c>
      <c r="Q188" s="161">
        <v>0.004187528079054204</v>
      </c>
      <c r="R188" s="162">
        <v>2.076183757194563</v>
      </c>
      <c r="S188" s="161">
        <v>163</v>
      </c>
      <c r="T188" s="161">
        <v>500</v>
      </c>
      <c r="U188" s="161" t="s">
        <v>447</v>
      </c>
      <c r="V188" s="162"/>
      <c r="W188" s="162"/>
      <c r="X188" s="51"/>
      <c r="Y188" s="51"/>
      <c r="Z188" s="51"/>
      <c r="AA188" s="51"/>
      <c r="AB188" s="51"/>
      <c r="AC188" s="152">
        <v>-62</v>
      </c>
      <c r="AD188" s="153">
        <v>-40</v>
      </c>
      <c r="AE188" s="153">
        <v>-17.8</v>
      </c>
      <c r="AF188" s="153">
        <v>71.1</v>
      </c>
      <c r="AG188" s="153">
        <v>143.3</v>
      </c>
      <c r="AH188" s="153">
        <v>260</v>
      </c>
      <c r="AI188" s="154">
        <v>840.23</v>
      </c>
      <c r="AJ188" s="154">
        <v>826.67</v>
      </c>
      <c r="AK188" s="154">
        <v>813.11</v>
      </c>
      <c r="AL188" s="154">
        <v>758.87</v>
      </c>
      <c r="AM188" s="154">
        <v>714.8</v>
      </c>
      <c r="AN188" s="154">
        <v>643.61</v>
      </c>
      <c r="AO188" s="155">
        <v>1.816</v>
      </c>
      <c r="AP188" s="155">
        <v>1.909</v>
      </c>
      <c r="AQ188" s="155">
        <v>2.002</v>
      </c>
      <c r="AR188" s="155">
        <v>2.374</v>
      </c>
      <c r="AS188" s="155">
        <v>2.676</v>
      </c>
      <c r="AT188" s="155">
        <v>3.165</v>
      </c>
      <c r="AU188" s="156">
        <v>0.1412</v>
      </c>
      <c r="AV188" s="156">
        <v>0.14</v>
      </c>
      <c r="AW188" s="156">
        <v>0.1387</v>
      </c>
      <c r="AX188" s="156">
        <v>0.1338</v>
      </c>
      <c r="AY188" s="156">
        <v>0.1297</v>
      </c>
      <c r="AZ188" s="156">
        <v>0.1232</v>
      </c>
      <c r="BA188" s="157">
        <v>3137</v>
      </c>
      <c r="BB188" s="157">
        <v>274.6</v>
      </c>
      <c r="BC188" s="157">
        <v>48.229</v>
      </c>
      <c r="BD188" s="157">
        <v>2.232</v>
      </c>
      <c r="BE188" s="157">
        <v>0.828</v>
      </c>
      <c r="BF188" s="157">
        <v>0.318</v>
      </c>
      <c r="BG188" s="158">
        <v>0.001</v>
      </c>
      <c r="BH188" s="158">
        <v>0.346</v>
      </c>
      <c r="BI188" s="158">
        <v>267</v>
      </c>
      <c r="BJ188" s="159" t="s">
        <v>126</v>
      </c>
      <c r="BK188" s="171"/>
    </row>
    <row r="189" spans="1:63" s="61" customFormat="1" ht="12.75" customHeight="1">
      <c r="A189" s="160" t="s">
        <v>448</v>
      </c>
      <c r="B189" s="161" t="s">
        <v>119</v>
      </c>
      <c r="C189" s="161" t="s">
        <v>449</v>
      </c>
      <c r="D189" s="161">
        <v>50</v>
      </c>
      <c r="E189" s="161">
        <v>343</v>
      </c>
      <c r="F189" s="161"/>
      <c r="G189" s="161">
        <v>8.298585458597255</v>
      </c>
      <c r="H189" s="161">
        <v>3733.1371913893054</v>
      </c>
      <c r="I189" s="161">
        <v>303.707483757067</v>
      </c>
      <c r="J189" s="161">
        <v>-3.851140167387551</v>
      </c>
      <c r="K189" s="161">
        <v>1092.541329389493</v>
      </c>
      <c r="L189" s="161">
        <v>-146.32892488883434</v>
      </c>
      <c r="M189" s="161">
        <v>-0.6077967567550083</v>
      </c>
      <c r="N189" s="161">
        <v>863.9762750988505</v>
      </c>
      <c r="O189" s="161">
        <v>-8.085112950846102E-05</v>
      </c>
      <c r="P189" s="161">
        <v>0.13770646324787916</v>
      </c>
      <c r="Q189" s="161">
        <v>0.003425470649037358</v>
      </c>
      <c r="R189" s="162">
        <v>1.923331768797833</v>
      </c>
      <c r="S189" s="161">
        <v>193</v>
      </c>
      <c r="T189" s="161">
        <v>301</v>
      </c>
      <c r="U189" s="161" t="s">
        <v>166</v>
      </c>
      <c r="V189" s="162"/>
      <c r="W189" s="162"/>
      <c r="X189" s="51"/>
      <c r="Y189" s="51"/>
      <c r="Z189" s="51"/>
      <c r="AA189" s="51"/>
      <c r="AB189" s="51"/>
      <c r="AC189" s="152">
        <v>10</v>
      </c>
      <c r="AD189" s="153">
        <v>26.7</v>
      </c>
      <c r="AE189" s="153">
        <v>104.4</v>
      </c>
      <c r="AF189" s="153">
        <v>171.1</v>
      </c>
      <c r="AG189" s="153">
        <v>226.7</v>
      </c>
      <c r="AH189" s="153">
        <v>315</v>
      </c>
      <c r="AI189" s="154">
        <v>857.81</v>
      </c>
      <c r="AJ189" s="154">
        <v>847.72</v>
      </c>
      <c r="AK189" s="154">
        <v>800.56</v>
      </c>
      <c r="AL189" s="154">
        <v>760.09</v>
      </c>
      <c r="AM189" s="154">
        <v>726.32</v>
      </c>
      <c r="AN189" s="154">
        <v>672.36</v>
      </c>
      <c r="AO189" s="155">
        <v>1.956</v>
      </c>
      <c r="AP189" s="155">
        <v>2.013</v>
      </c>
      <c r="AQ189" s="155">
        <v>2.285</v>
      </c>
      <c r="AR189" s="155">
        <v>2.511</v>
      </c>
      <c r="AS189" s="155">
        <v>2.699</v>
      </c>
      <c r="AT189" s="155">
        <v>3.001</v>
      </c>
      <c r="AU189" s="156">
        <v>0.1369</v>
      </c>
      <c r="AV189" s="156">
        <v>0.1355</v>
      </c>
      <c r="AW189" s="156">
        <v>0.1293</v>
      </c>
      <c r="AX189" s="156">
        <v>0.1239</v>
      </c>
      <c r="AY189" s="156">
        <v>0.1194</v>
      </c>
      <c r="AZ189" s="156">
        <v>0.1122</v>
      </c>
      <c r="BA189" s="157">
        <v>75.697</v>
      </c>
      <c r="BB189" s="157">
        <v>26.191</v>
      </c>
      <c r="BC189" s="157">
        <v>2.191</v>
      </c>
      <c r="BD189" s="157">
        <v>0.832</v>
      </c>
      <c r="BE189" s="157">
        <v>0.483</v>
      </c>
      <c r="BF189" s="157">
        <v>0.252</v>
      </c>
      <c r="BG189" s="158">
        <v>0.001</v>
      </c>
      <c r="BH189" s="158">
        <v>2.73</v>
      </c>
      <c r="BI189" s="158">
        <v>184</v>
      </c>
      <c r="BJ189" s="159" t="s">
        <v>126</v>
      </c>
      <c r="BK189" s="171"/>
    </row>
    <row r="190" spans="1:63" s="61" customFormat="1" ht="12.75" customHeight="1">
      <c r="A190" s="160" t="s">
        <v>450</v>
      </c>
      <c r="B190" s="161" t="s">
        <v>119</v>
      </c>
      <c r="C190" s="161" t="s">
        <v>121</v>
      </c>
      <c r="D190" s="161">
        <v>-37</v>
      </c>
      <c r="E190" s="161">
        <v>349</v>
      </c>
      <c r="F190" s="161"/>
      <c r="G190" s="161">
        <v>18.685943844460198</v>
      </c>
      <c r="H190" s="161">
        <v>22435.378947258694</v>
      </c>
      <c r="I190" s="161">
        <v>1102.3712004225033</v>
      </c>
      <c r="J190" s="161">
        <v>-3.107823067681693</v>
      </c>
      <c r="K190" s="161">
        <v>665.0131621667516</v>
      </c>
      <c r="L190" s="161">
        <v>-170.70209885533885</v>
      </c>
      <c r="M190" s="161">
        <v>-0.71954928107437</v>
      </c>
      <c r="N190" s="161">
        <v>1016.9950254152975</v>
      </c>
      <c r="O190" s="161">
        <v>-8.595802713527906E-05</v>
      </c>
      <c r="P190" s="161">
        <v>0.11911151844985018</v>
      </c>
      <c r="Q190" s="161">
        <v>0.0033129052072514396</v>
      </c>
      <c r="R190" s="162">
        <v>1.3366885188314765</v>
      </c>
      <c r="S190" s="161">
        <v>160</v>
      </c>
      <c r="T190" s="161">
        <v>305</v>
      </c>
      <c r="U190" s="161"/>
      <c r="V190" s="162"/>
      <c r="W190" s="162"/>
      <c r="X190" s="51"/>
      <c r="Y190" s="51"/>
      <c r="Z190" s="51"/>
      <c r="AA190" s="51"/>
      <c r="AB190" s="51"/>
      <c r="AC190" s="152">
        <v>-37.2</v>
      </c>
      <c r="AD190" s="153">
        <v>-17.8</v>
      </c>
      <c r="AE190" s="153">
        <v>48.9</v>
      </c>
      <c r="AF190" s="153">
        <v>148.9</v>
      </c>
      <c r="AG190" s="153">
        <v>248.9</v>
      </c>
      <c r="AH190" s="153">
        <v>349</v>
      </c>
      <c r="AI190" s="154">
        <v>1043.8</v>
      </c>
      <c r="AJ190" s="154">
        <v>1029.8</v>
      </c>
      <c r="AK190" s="154">
        <v>981.8</v>
      </c>
      <c r="AL190" s="154">
        <v>909.8</v>
      </c>
      <c r="AM190" s="154">
        <v>837.9</v>
      </c>
      <c r="AN190" s="154">
        <v>765.9</v>
      </c>
      <c r="AO190" s="155">
        <v>1.213</v>
      </c>
      <c r="AP190" s="155">
        <v>1.278</v>
      </c>
      <c r="AQ190" s="155">
        <v>1.499</v>
      </c>
      <c r="AR190" s="155">
        <v>1.83</v>
      </c>
      <c r="AS190" s="155">
        <v>2.161</v>
      </c>
      <c r="AT190" s="155">
        <v>2.493</v>
      </c>
      <c r="AU190" s="156">
        <v>0.12</v>
      </c>
      <c r="AV190" s="156">
        <v>0.122</v>
      </c>
      <c r="AW190" s="156">
        <v>0.116</v>
      </c>
      <c r="AX190" s="156">
        <v>0.107</v>
      </c>
      <c r="AY190" s="156">
        <v>0.097</v>
      </c>
      <c r="AZ190" s="156">
        <v>0.089</v>
      </c>
      <c r="BA190" s="157">
        <v>1601.8</v>
      </c>
      <c r="BB190" s="157">
        <v>115.4</v>
      </c>
      <c r="BC190" s="157">
        <v>2.246</v>
      </c>
      <c r="BD190" s="157">
        <v>0.63</v>
      </c>
      <c r="BE190" s="157">
        <v>0.314</v>
      </c>
      <c r="BF190" s="157">
        <v>0.195</v>
      </c>
      <c r="BG190" s="158">
        <v>0.01</v>
      </c>
      <c r="BH190" s="158">
        <v>5.7</v>
      </c>
      <c r="BI190" s="158">
        <v>1690</v>
      </c>
      <c r="BJ190" s="159" t="s">
        <v>126</v>
      </c>
      <c r="BK190" s="171"/>
    </row>
    <row r="191" spans="1:63" s="61" customFormat="1" ht="12.75" customHeight="1">
      <c r="A191" s="160" t="s">
        <v>451</v>
      </c>
      <c r="B191" s="161" t="s">
        <v>119</v>
      </c>
      <c r="C191" s="161" t="s">
        <v>452</v>
      </c>
      <c r="D191" s="161">
        <v>7</v>
      </c>
      <c r="E191" s="161">
        <v>371</v>
      </c>
      <c r="F191" s="161"/>
      <c r="G191" s="161" t="s">
        <v>196</v>
      </c>
      <c r="H191" s="161" t="s">
        <v>196</v>
      </c>
      <c r="I191" s="161" t="s">
        <v>196</v>
      </c>
      <c r="J191" s="161">
        <v>-4.002737560654092</v>
      </c>
      <c r="K191" s="161">
        <v>1273.6915523451878</v>
      </c>
      <c r="L191" s="161">
        <v>-65.54333908379107</v>
      </c>
      <c r="M191" s="161">
        <v>-0.8346073671628133</v>
      </c>
      <c r="N191" s="161">
        <v>1080.229541513987</v>
      </c>
      <c r="O191" s="161">
        <v>-0.0001520961889436697</v>
      </c>
      <c r="P191" s="161">
        <v>0.14060543666507297</v>
      </c>
      <c r="Q191" s="161">
        <v>0.0028039862086523134</v>
      </c>
      <c r="R191" s="162">
        <v>1.5167006426775314</v>
      </c>
      <c r="S191" s="161">
        <v>122</v>
      </c>
      <c r="T191" s="161">
        <v>258</v>
      </c>
      <c r="U191" s="161"/>
      <c r="V191" s="162"/>
      <c r="W191" s="162"/>
      <c r="X191" s="51"/>
      <c r="Y191" s="51"/>
      <c r="Z191" s="51"/>
      <c r="AA191" s="51"/>
      <c r="AB191" s="51"/>
      <c r="AC191" s="152">
        <v>7.2</v>
      </c>
      <c r="AD191" s="153">
        <v>48.9</v>
      </c>
      <c r="AE191" s="153">
        <v>126.7</v>
      </c>
      <c r="AF191" s="153">
        <v>204.4</v>
      </c>
      <c r="AG191" s="153">
        <v>304.4</v>
      </c>
      <c r="AH191" s="153">
        <v>371.1</v>
      </c>
      <c r="AI191" s="154">
        <v>1074.2</v>
      </c>
      <c r="AJ191" s="154">
        <v>1039.43</v>
      </c>
      <c r="AK191" s="154">
        <v>974.52</v>
      </c>
      <c r="AL191" s="154">
        <v>909.61</v>
      </c>
      <c r="AM191" s="154">
        <v>826.16</v>
      </c>
      <c r="AN191" s="154">
        <v>770.52</v>
      </c>
      <c r="AO191" s="155">
        <v>1.532</v>
      </c>
      <c r="AP191" s="155">
        <v>1.656</v>
      </c>
      <c r="AQ191" s="155">
        <v>1.877</v>
      </c>
      <c r="AR191" s="155">
        <v>2.091</v>
      </c>
      <c r="AS191" s="155">
        <v>2.365</v>
      </c>
      <c r="AT191" s="155">
        <v>2.559</v>
      </c>
      <c r="AU191" s="156">
        <v>0.1372</v>
      </c>
      <c r="AV191" s="156">
        <v>0.1329</v>
      </c>
      <c r="AW191" s="156">
        <v>0.1233</v>
      </c>
      <c r="AX191" s="156">
        <v>0.112</v>
      </c>
      <c r="AY191" s="156">
        <v>0.0948</v>
      </c>
      <c r="AZ191" s="156">
        <v>0.0818</v>
      </c>
      <c r="BA191" s="157">
        <v>8.416</v>
      </c>
      <c r="BB191" s="157">
        <v>2.619</v>
      </c>
      <c r="BC191" s="157">
        <v>0.872</v>
      </c>
      <c r="BD191" s="157">
        <v>0.402</v>
      </c>
      <c r="BE191" s="157">
        <v>0.226</v>
      </c>
      <c r="BF191" s="157">
        <v>0.165</v>
      </c>
      <c r="BG191" s="158">
        <v>0</v>
      </c>
      <c r="BH191" s="158">
        <v>0</v>
      </c>
      <c r="BI191" s="158">
        <v>0</v>
      </c>
      <c r="BJ191" s="159" t="s">
        <v>126</v>
      </c>
      <c r="BK191" s="171"/>
    </row>
    <row r="192" spans="1:63" s="61" customFormat="1" ht="12.75" customHeight="1">
      <c r="A192" s="160" t="s">
        <v>453</v>
      </c>
      <c r="B192" s="161" t="s">
        <v>119</v>
      </c>
      <c r="C192" s="161" t="s">
        <v>454</v>
      </c>
      <c r="D192" s="161">
        <v>15</v>
      </c>
      <c r="E192" s="161">
        <v>400</v>
      </c>
      <c r="F192" s="161"/>
      <c r="G192" s="161">
        <v>7.1169710453939174</v>
      </c>
      <c r="H192" s="161">
        <v>1876.734969434571</v>
      </c>
      <c r="I192" s="161">
        <v>185.98941008648316</v>
      </c>
      <c r="J192" s="161">
        <v>-4.1186053310368855</v>
      </c>
      <c r="K192" s="161">
        <v>1398.010591112614</v>
      </c>
      <c r="L192" s="161">
        <v>-34.985432798823105</v>
      </c>
      <c r="M192" s="161">
        <v>-0.9565268750125864</v>
      </c>
      <c r="N192" s="161">
        <v>1092.5878971585553</v>
      </c>
      <c r="O192" s="161">
        <v>-0.00015788927137194865</v>
      </c>
      <c r="P192" s="161">
        <v>0.14225075338510573</v>
      </c>
      <c r="Q192" s="161">
        <v>0.002809556398991548</v>
      </c>
      <c r="R192" s="162">
        <v>1.4894297455246979</v>
      </c>
      <c r="S192" s="161">
        <v>124</v>
      </c>
      <c r="T192" s="161">
        <v>257</v>
      </c>
      <c r="U192" s="161"/>
      <c r="V192" s="162"/>
      <c r="W192" s="162"/>
      <c r="X192" s="51"/>
      <c r="Y192" s="51"/>
      <c r="Z192" s="51"/>
      <c r="AA192" s="51"/>
      <c r="AB192" s="51"/>
      <c r="AC192" s="152">
        <v>15.6</v>
      </c>
      <c r="AD192" s="153">
        <v>48.9</v>
      </c>
      <c r="AE192" s="153">
        <v>126.7</v>
      </c>
      <c r="AF192" s="153">
        <v>204.4</v>
      </c>
      <c r="AG192" s="153">
        <v>304.4</v>
      </c>
      <c r="AH192" s="153">
        <v>398.9</v>
      </c>
      <c r="AI192" s="154">
        <v>1068.5</v>
      </c>
      <c r="AJ192" s="154">
        <v>1041.3</v>
      </c>
      <c r="AK192" s="154">
        <v>977.2</v>
      </c>
      <c r="AL192" s="154">
        <v>909.9</v>
      </c>
      <c r="AM192" s="154">
        <v>812.2</v>
      </c>
      <c r="AN192" s="154">
        <v>695.3</v>
      </c>
      <c r="AO192" s="155">
        <v>1.532</v>
      </c>
      <c r="AP192" s="155">
        <v>1.632</v>
      </c>
      <c r="AQ192" s="155">
        <v>1.85</v>
      </c>
      <c r="AR192" s="155">
        <v>2.059</v>
      </c>
      <c r="AS192" s="155">
        <v>2.327</v>
      </c>
      <c r="AT192" s="155">
        <v>2.624</v>
      </c>
      <c r="AU192" s="156">
        <v>0.1371</v>
      </c>
      <c r="AV192" s="156">
        <v>0.1336</v>
      </c>
      <c r="AW192" s="156">
        <v>0.1244</v>
      </c>
      <c r="AX192" s="156">
        <v>0.1132</v>
      </c>
      <c r="AY192" s="156">
        <v>0.0957</v>
      </c>
      <c r="AZ192" s="156">
        <v>0.076</v>
      </c>
      <c r="BA192" s="157">
        <v>4.961</v>
      </c>
      <c r="BB192" s="157">
        <v>2.12</v>
      </c>
      <c r="BC192" s="157">
        <v>0.73</v>
      </c>
      <c r="BD192" s="157">
        <v>0.383</v>
      </c>
      <c r="BE192" s="157">
        <v>0.216</v>
      </c>
      <c r="BF192" s="157">
        <v>0.146</v>
      </c>
      <c r="BG192" s="158">
        <v>0.134</v>
      </c>
      <c r="BH192" s="158">
        <v>204</v>
      </c>
      <c r="BI192" s="158">
        <v>8096</v>
      </c>
      <c r="BJ192" s="159">
        <v>0</v>
      </c>
      <c r="BK192" s="171"/>
    </row>
    <row r="193" spans="1:63" s="61" customFormat="1" ht="12.75" customHeight="1">
      <c r="A193" s="160" t="s">
        <v>117</v>
      </c>
      <c r="B193" s="161" t="s">
        <v>119</v>
      </c>
      <c r="C193" s="161" t="s">
        <v>121</v>
      </c>
      <c r="D193" s="161">
        <v>-57</v>
      </c>
      <c r="E193" s="161">
        <v>343</v>
      </c>
      <c r="F193" s="161"/>
      <c r="G193" s="161">
        <v>11.592862728847818</v>
      </c>
      <c r="H193" s="161">
        <v>7224.24330696522</v>
      </c>
      <c r="I193" s="161">
        <v>549.2732776366068</v>
      </c>
      <c r="J193" s="161">
        <v>-3.7833670620562696</v>
      </c>
      <c r="K193" s="161">
        <v>1086.9426919606854</v>
      </c>
      <c r="L193" s="161">
        <v>-92.39712271324007</v>
      </c>
      <c r="M193" s="161">
        <v>-0.7290805538543713</v>
      </c>
      <c r="N193" s="161">
        <v>1011.0499884050979</v>
      </c>
      <c r="O193" s="161">
        <v>-0.00015421568084317825</v>
      </c>
      <c r="P193" s="161">
        <v>0.13665885228344224</v>
      </c>
      <c r="Q193" s="161">
        <v>0.0030904412484068413</v>
      </c>
      <c r="R193" s="162">
        <v>1.6409142314845981</v>
      </c>
      <c r="S193" s="161">
        <v>121</v>
      </c>
      <c r="T193" s="161">
        <v>275</v>
      </c>
      <c r="U193" s="161"/>
      <c r="V193" s="162"/>
      <c r="W193" s="162"/>
      <c r="X193" s="51"/>
      <c r="Y193" s="51"/>
      <c r="Z193" s="51"/>
      <c r="AA193" s="51"/>
      <c r="AB193" s="51"/>
      <c r="AC193" s="152">
        <v>-45.6</v>
      </c>
      <c r="AD193" s="153">
        <v>-17.8</v>
      </c>
      <c r="AE193" s="153">
        <v>48.9</v>
      </c>
      <c r="AF193" s="153">
        <v>148.9</v>
      </c>
      <c r="AG193" s="153">
        <v>248.9</v>
      </c>
      <c r="AH193" s="153">
        <v>343.3</v>
      </c>
      <c r="AI193" s="154">
        <v>1044.16</v>
      </c>
      <c r="AJ193" s="154">
        <v>1024.18</v>
      </c>
      <c r="AK193" s="154">
        <v>976.22</v>
      </c>
      <c r="AL193" s="154">
        <v>904.27</v>
      </c>
      <c r="AM193" s="154">
        <v>823.33</v>
      </c>
      <c r="AN193" s="154">
        <v>764.39</v>
      </c>
      <c r="AO193" s="155">
        <v>1.5</v>
      </c>
      <c r="AP193" s="155">
        <v>1.586</v>
      </c>
      <c r="AQ193" s="155">
        <v>1.792</v>
      </c>
      <c r="AR193" s="155">
        <v>2.101</v>
      </c>
      <c r="AS193" s="155">
        <v>2.41</v>
      </c>
      <c r="AT193" s="155">
        <v>2.702</v>
      </c>
      <c r="AU193" s="156">
        <v>0.1437</v>
      </c>
      <c r="AV193" s="156">
        <v>0.1394</v>
      </c>
      <c r="AW193" s="156">
        <v>0.1291</v>
      </c>
      <c r="AX193" s="156">
        <v>0.1137</v>
      </c>
      <c r="AY193" s="156">
        <v>0.0983</v>
      </c>
      <c r="AZ193" s="156">
        <v>0.0837</v>
      </c>
      <c r="BA193" s="157">
        <v>114.95</v>
      </c>
      <c r="BB193" s="157">
        <v>17.938</v>
      </c>
      <c r="BC193" s="157">
        <v>2.264</v>
      </c>
      <c r="BD193" s="157">
        <v>0.615</v>
      </c>
      <c r="BE193" s="157">
        <v>0.282</v>
      </c>
      <c r="BF193" s="157">
        <v>0.181</v>
      </c>
      <c r="BG193" s="158">
        <v>0.01</v>
      </c>
      <c r="BH193" s="158">
        <v>17.6</v>
      </c>
      <c r="BI193" s="158">
        <v>3156</v>
      </c>
      <c r="BJ193" s="159" t="s">
        <v>126</v>
      </c>
      <c r="BK193" s="171"/>
    </row>
    <row r="194" spans="1:63" s="61" customFormat="1" ht="12.75" customHeight="1">
      <c r="A194" s="160"/>
      <c r="B194" s="161"/>
      <c r="C194" s="161"/>
      <c r="D194" s="161"/>
      <c r="E194" s="161"/>
      <c r="F194" s="161"/>
      <c r="G194" s="161"/>
      <c r="H194" s="161"/>
      <c r="I194" s="161"/>
      <c r="J194" s="161"/>
      <c r="K194" s="161"/>
      <c r="L194" s="161"/>
      <c r="M194" s="161"/>
      <c r="N194" s="161"/>
      <c r="O194" s="161"/>
      <c r="P194" s="161"/>
      <c r="Q194" s="161"/>
      <c r="R194" s="162"/>
      <c r="S194" s="161"/>
      <c r="T194" s="161"/>
      <c r="U194" s="161"/>
      <c r="V194" s="162"/>
      <c r="W194" s="162"/>
      <c r="X194" s="51"/>
      <c r="Y194" s="51"/>
      <c r="Z194" s="51"/>
      <c r="AA194" s="51"/>
      <c r="AB194" s="51"/>
      <c r="AC194" s="152"/>
      <c r="AD194" s="153"/>
      <c r="AE194" s="153"/>
      <c r="AF194" s="153"/>
      <c r="AG194" s="153"/>
      <c r="AH194" s="153"/>
      <c r="AI194" s="154"/>
      <c r="AJ194" s="154"/>
      <c r="AK194" s="154"/>
      <c r="AL194" s="154"/>
      <c r="AM194" s="154"/>
      <c r="AN194" s="154"/>
      <c r="AO194" s="155"/>
      <c r="AP194" s="155"/>
      <c r="AQ194" s="155"/>
      <c r="AR194" s="155"/>
      <c r="AS194" s="155"/>
      <c r="AT194" s="155"/>
      <c r="AU194" s="156"/>
      <c r="AV194" s="156"/>
      <c r="AW194" s="156"/>
      <c r="AX194" s="156"/>
      <c r="AY194" s="156"/>
      <c r="AZ194" s="156"/>
      <c r="BA194" s="157"/>
      <c r="BB194" s="157"/>
      <c r="BC194" s="157"/>
      <c r="BD194" s="157"/>
      <c r="BE194" s="157"/>
      <c r="BF194" s="157"/>
      <c r="BG194" s="158"/>
      <c r="BH194" s="158"/>
      <c r="BI194" s="158"/>
      <c r="BJ194" s="159"/>
      <c r="BK194" s="171"/>
    </row>
    <row r="195" spans="1:63" s="61" customFormat="1" ht="12.75" customHeight="1">
      <c r="A195" s="160"/>
      <c r="B195" s="161"/>
      <c r="C195" s="161"/>
      <c r="D195" s="161"/>
      <c r="E195" s="161"/>
      <c r="F195" s="161"/>
      <c r="G195" s="161"/>
      <c r="H195" s="161"/>
      <c r="I195" s="161"/>
      <c r="J195" s="161"/>
      <c r="K195" s="161"/>
      <c r="L195" s="161"/>
      <c r="M195" s="161"/>
      <c r="N195" s="161"/>
      <c r="O195" s="161"/>
      <c r="P195" s="161"/>
      <c r="Q195" s="161"/>
      <c r="R195" s="162"/>
      <c r="S195" s="161"/>
      <c r="T195" s="161"/>
      <c r="U195" s="161"/>
      <c r="V195" s="162"/>
      <c r="W195" s="162"/>
      <c r="X195" s="51"/>
      <c r="Y195" s="51"/>
      <c r="Z195" s="51"/>
      <c r="AA195" s="51"/>
      <c r="AB195" s="51"/>
      <c r="AC195" s="152"/>
      <c r="AD195" s="153"/>
      <c r="AE195" s="153"/>
      <c r="AF195" s="153"/>
      <c r="AG195" s="153"/>
      <c r="AH195" s="153"/>
      <c r="AI195" s="154"/>
      <c r="AJ195" s="154"/>
      <c r="AK195" s="154"/>
      <c r="AL195" s="154"/>
      <c r="AM195" s="154"/>
      <c r="AN195" s="154"/>
      <c r="AO195" s="155"/>
      <c r="AP195" s="155"/>
      <c r="AQ195" s="155"/>
      <c r="AR195" s="155"/>
      <c r="AS195" s="155"/>
      <c r="AT195" s="155"/>
      <c r="AU195" s="156"/>
      <c r="AV195" s="156"/>
      <c r="AW195" s="156"/>
      <c r="AX195" s="156"/>
      <c r="AY195" s="156"/>
      <c r="AZ195" s="156"/>
      <c r="BA195" s="157"/>
      <c r="BB195" s="157"/>
      <c r="BC195" s="157"/>
      <c r="BD195" s="157"/>
      <c r="BE195" s="157"/>
      <c r="BF195" s="157"/>
      <c r="BG195" s="158"/>
      <c r="BH195" s="158"/>
      <c r="BI195" s="158"/>
      <c r="BJ195" s="159"/>
      <c r="BK195" s="171"/>
    </row>
    <row r="196" spans="1:63" s="61" customFormat="1" ht="12.75" customHeight="1">
      <c r="A196" s="160"/>
      <c r="B196" s="161"/>
      <c r="C196" s="161"/>
      <c r="D196" s="161"/>
      <c r="E196" s="161"/>
      <c r="F196" s="161"/>
      <c r="G196" s="161"/>
      <c r="H196" s="161"/>
      <c r="I196" s="161"/>
      <c r="J196" s="161"/>
      <c r="K196" s="161"/>
      <c r="L196" s="161"/>
      <c r="M196" s="161"/>
      <c r="N196" s="161"/>
      <c r="O196" s="161"/>
      <c r="P196" s="161"/>
      <c r="Q196" s="161"/>
      <c r="R196" s="162"/>
      <c r="S196" s="161"/>
      <c r="T196" s="161"/>
      <c r="U196" s="161"/>
      <c r="V196" s="162"/>
      <c r="W196" s="162"/>
      <c r="X196" s="51"/>
      <c r="Y196" s="51"/>
      <c r="Z196" s="51"/>
      <c r="AA196" s="51"/>
      <c r="AB196" s="51"/>
      <c r="AC196" s="152"/>
      <c r="AD196" s="153"/>
      <c r="AE196" s="153"/>
      <c r="AF196" s="153"/>
      <c r="AG196" s="153"/>
      <c r="AH196" s="153"/>
      <c r="AI196" s="154"/>
      <c r="AJ196" s="154"/>
      <c r="AK196" s="154"/>
      <c r="AL196" s="154"/>
      <c r="AM196" s="154"/>
      <c r="AN196" s="154"/>
      <c r="AO196" s="155"/>
      <c r="AP196" s="155"/>
      <c r="AQ196" s="155"/>
      <c r="AR196" s="155"/>
      <c r="AS196" s="155"/>
      <c r="AT196" s="155"/>
      <c r="AU196" s="156"/>
      <c r="AV196" s="156"/>
      <c r="AW196" s="156"/>
      <c r="AX196" s="156"/>
      <c r="AY196" s="156"/>
      <c r="AZ196" s="156"/>
      <c r="BA196" s="157"/>
      <c r="BB196" s="157"/>
      <c r="BC196" s="157"/>
      <c r="BD196" s="157"/>
      <c r="BE196" s="157"/>
      <c r="BF196" s="157"/>
      <c r="BG196" s="158"/>
      <c r="BH196" s="158"/>
      <c r="BI196" s="158"/>
      <c r="BJ196" s="159"/>
      <c r="BK196" s="171"/>
    </row>
    <row r="197" spans="1:63" s="61" customFormat="1" ht="12.75" customHeight="1">
      <c r="A197" s="163"/>
      <c r="B197" s="164"/>
      <c r="C197" s="164"/>
      <c r="D197" s="164"/>
      <c r="E197" s="164"/>
      <c r="F197" s="164"/>
      <c r="G197" s="164"/>
      <c r="H197" s="164"/>
      <c r="I197" s="164"/>
      <c r="J197" s="164"/>
      <c r="K197" s="164"/>
      <c r="L197" s="164"/>
      <c r="M197" s="164"/>
      <c r="N197" s="164"/>
      <c r="O197" s="164"/>
      <c r="P197" s="164"/>
      <c r="Q197" s="164"/>
      <c r="R197" s="165"/>
      <c r="S197" s="164"/>
      <c r="T197" s="164"/>
      <c r="U197" s="164"/>
      <c r="V197" s="165"/>
      <c r="W197" s="165"/>
      <c r="X197" s="51"/>
      <c r="Y197" s="51"/>
      <c r="Z197" s="51"/>
      <c r="AA197" s="51"/>
      <c r="AB197" s="51"/>
      <c r="AC197" s="152"/>
      <c r="AD197" s="153"/>
      <c r="AE197" s="153"/>
      <c r="AF197" s="153"/>
      <c r="AG197" s="153"/>
      <c r="AH197" s="153"/>
      <c r="AI197" s="154"/>
      <c r="AJ197" s="154"/>
      <c r="AK197" s="154"/>
      <c r="AL197" s="154"/>
      <c r="AM197" s="154"/>
      <c r="AN197" s="154"/>
      <c r="AO197" s="155"/>
      <c r="AP197" s="155"/>
      <c r="AQ197" s="155"/>
      <c r="AR197" s="155"/>
      <c r="AS197" s="155"/>
      <c r="AT197" s="155"/>
      <c r="AU197" s="156"/>
      <c r="AV197" s="156"/>
      <c r="AW197" s="156"/>
      <c r="AX197" s="156"/>
      <c r="AY197" s="156"/>
      <c r="AZ197" s="156"/>
      <c r="BA197" s="157"/>
      <c r="BB197" s="157"/>
      <c r="BC197" s="157"/>
      <c r="BD197" s="157"/>
      <c r="BE197" s="157"/>
      <c r="BF197" s="157"/>
      <c r="BG197" s="158"/>
      <c r="BH197" s="158"/>
      <c r="BI197" s="158"/>
      <c r="BJ197" s="159"/>
      <c r="BK197" s="171"/>
    </row>
    <row r="198" spans="1:63" s="61" customFormat="1" ht="12.75" customHeight="1">
      <c r="A198" s="163"/>
      <c r="B198" s="164"/>
      <c r="C198" s="164"/>
      <c r="D198" s="164"/>
      <c r="E198" s="164"/>
      <c r="F198" s="164"/>
      <c r="G198" s="164"/>
      <c r="H198" s="164"/>
      <c r="I198" s="164"/>
      <c r="J198" s="164"/>
      <c r="K198" s="164"/>
      <c r="L198" s="164"/>
      <c r="M198" s="164"/>
      <c r="N198" s="164"/>
      <c r="O198" s="164"/>
      <c r="P198" s="164"/>
      <c r="Q198" s="164"/>
      <c r="R198" s="165"/>
      <c r="S198" s="164"/>
      <c r="T198" s="164"/>
      <c r="U198" s="164"/>
      <c r="V198" s="165"/>
      <c r="W198" s="165"/>
      <c r="X198" s="51"/>
      <c r="Y198" s="51"/>
      <c r="Z198" s="51"/>
      <c r="AA198" s="51"/>
      <c r="AB198" s="51"/>
      <c r="AC198" s="152"/>
      <c r="AD198" s="153"/>
      <c r="AE198" s="153"/>
      <c r="AF198" s="153"/>
      <c r="AG198" s="153"/>
      <c r="AH198" s="153"/>
      <c r="AI198" s="154"/>
      <c r="AJ198" s="154"/>
      <c r="AK198" s="154"/>
      <c r="AL198" s="154"/>
      <c r="AM198" s="154"/>
      <c r="AN198" s="154"/>
      <c r="AO198" s="155"/>
      <c r="AP198" s="155"/>
      <c r="AQ198" s="155"/>
      <c r="AR198" s="155"/>
      <c r="AS198" s="155"/>
      <c r="AT198" s="155"/>
      <c r="AU198" s="156"/>
      <c r="AV198" s="156"/>
      <c r="AW198" s="156"/>
      <c r="AX198" s="156"/>
      <c r="AY198" s="156"/>
      <c r="AZ198" s="156"/>
      <c r="BA198" s="157"/>
      <c r="BB198" s="157"/>
      <c r="BC198" s="157"/>
      <c r="BD198" s="157"/>
      <c r="BE198" s="157"/>
      <c r="BF198" s="157"/>
      <c r="BG198" s="158"/>
      <c r="BH198" s="158"/>
      <c r="BI198" s="158"/>
      <c r="BJ198" s="159"/>
      <c r="BK198" s="171"/>
    </row>
    <row r="199" spans="1:63" s="61" customFormat="1" ht="12.75" customHeight="1">
      <c r="A199" s="163"/>
      <c r="B199" s="164"/>
      <c r="C199" s="164"/>
      <c r="D199" s="164"/>
      <c r="E199" s="164"/>
      <c r="F199" s="164"/>
      <c r="G199" s="164"/>
      <c r="H199" s="164"/>
      <c r="I199" s="164"/>
      <c r="J199" s="164"/>
      <c r="K199" s="164"/>
      <c r="L199" s="164"/>
      <c r="M199" s="164"/>
      <c r="N199" s="164"/>
      <c r="O199" s="164"/>
      <c r="P199" s="164"/>
      <c r="Q199" s="164"/>
      <c r="R199" s="165"/>
      <c r="S199" s="164"/>
      <c r="T199" s="164"/>
      <c r="U199" s="164"/>
      <c r="V199" s="165"/>
      <c r="W199" s="165"/>
      <c r="X199" s="51"/>
      <c r="Y199" s="51"/>
      <c r="Z199" s="51"/>
      <c r="AA199" s="51"/>
      <c r="AB199" s="51"/>
      <c r="AC199" s="152"/>
      <c r="AD199" s="153"/>
      <c r="AE199" s="153"/>
      <c r="AF199" s="153"/>
      <c r="AG199" s="153"/>
      <c r="AH199" s="153"/>
      <c r="AI199" s="154"/>
      <c r="AJ199" s="154"/>
      <c r="AK199" s="154"/>
      <c r="AL199" s="154"/>
      <c r="AM199" s="154"/>
      <c r="AN199" s="154"/>
      <c r="AO199" s="155"/>
      <c r="AP199" s="155"/>
      <c r="AQ199" s="155"/>
      <c r="AR199" s="155"/>
      <c r="AS199" s="155"/>
      <c r="AT199" s="155"/>
      <c r="AU199" s="156"/>
      <c r="AV199" s="156"/>
      <c r="AW199" s="156"/>
      <c r="AX199" s="156"/>
      <c r="AY199" s="156"/>
      <c r="AZ199" s="156"/>
      <c r="BA199" s="157"/>
      <c r="BB199" s="157"/>
      <c r="BC199" s="157"/>
      <c r="BD199" s="157"/>
      <c r="BE199" s="157"/>
      <c r="BF199" s="157"/>
      <c r="BG199" s="158"/>
      <c r="BH199" s="158"/>
      <c r="BI199" s="158"/>
      <c r="BJ199" s="159"/>
      <c r="BK199" s="171"/>
    </row>
    <row r="200" spans="1:63" ht="11.25">
      <c r="A200" s="166"/>
      <c r="B200" s="167"/>
      <c r="C200" s="167"/>
      <c r="D200" s="167"/>
      <c r="E200" s="167"/>
      <c r="F200" s="167"/>
      <c r="G200" s="167"/>
      <c r="H200" s="167"/>
      <c r="I200" s="167"/>
      <c r="J200" s="167"/>
      <c r="K200" s="167"/>
      <c r="L200" s="167"/>
      <c r="M200" s="167"/>
      <c r="N200" s="167"/>
      <c r="O200" s="167"/>
      <c r="P200" s="167"/>
      <c r="Q200" s="167"/>
      <c r="R200" s="168"/>
      <c r="S200" s="167"/>
      <c r="T200" s="167"/>
      <c r="U200" s="167"/>
      <c r="V200" s="168"/>
      <c r="W200" s="168"/>
      <c r="AC200" s="152"/>
      <c r="AD200" s="153"/>
      <c r="AE200" s="153"/>
      <c r="AF200" s="153"/>
      <c r="AG200" s="153"/>
      <c r="AH200" s="153"/>
      <c r="AI200" s="154"/>
      <c r="AJ200" s="154"/>
      <c r="AK200" s="154"/>
      <c r="AL200" s="154"/>
      <c r="AM200" s="154"/>
      <c r="AN200" s="154"/>
      <c r="AO200" s="155"/>
      <c r="AP200" s="155"/>
      <c r="AQ200" s="155"/>
      <c r="AR200" s="155"/>
      <c r="AS200" s="155"/>
      <c r="AT200" s="155"/>
      <c r="AU200" s="156"/>
      <c r="AV200" s="156"/>
      <c r="AW200" s="156"/>
      <c r="AX200" s="156"/>
      <c r="AY200" s="156"/>
      <c r="AZ200" s="156"/>
      <c r="BA200" s="157"/>
      <c r="BB200" s="157"/>
      <c r="BC200" s="157"/>
      <c r="BD200" s="157"/>
      <c r="BE200" s="157"/>
      <c r="BF200" s="157"/>
      <c r="BG200" s="158"/>
      <c r="BH200" s="158"/>
      <c r="BI200" s="158"/>
      <c r="BJ200" s="159"/>
      <c r="BK200" s="171"/>
    </row>
    <row r="201" spans="19:27" ht="12.75">
      <c r="S201" s="84"/>
      <c r="T201" s="84"/>
      <c r="U201" s="84"/>
      <c r="V201" s="84"/>
      <c r="W201" s="84"/>
      <c r="X201" s="84"/>
      <c r="Y201" s="84"/>
      <c r="Z201" s="84"/>
      <c r="AA201" s="84"/>
    </row>
    <row r="202" spans="19:27" ht="12.75">
      <c r="S202" s="84"/>
      <c r="T202" s="84"/>
      <c r="U202" s="84"/>
      <c r="V202" s="84"/>
      <c r="W202" s="84"/>
      <c r="X202" s="84"/>
      <c r="Y202" s="84"/>
      <c r="Z202" s="84"/>
      <c r="AA202" s="84"/>
    </row>
    <row r="203" spans="19:27" ht="12.75">
      <c r="S203" s="84"/>
      <c r="T203" s="84"/>
      <c r="U203" s="84"/>
      <c r="V203" s="84"/>
      <c r="W203" s="84"/>
      <c r="X203" s="84"/>
      <c r="Y203" s="84"/>
      <c r="Z203" s="84"/>
      <c r="AA203" s="84"/>
    </row>
    <row r="204" spans="19:27" ht="12.75">
      <c r="S204" s="84"/>
      <c r="T204" s="84"/>
      <c r="U204" s="84"/>
      <c r="V204" s="84"/>
      <c r="W204" s="84"/>
      <c r="X204" s="84"/>
      <c r="Y204" s="84"/>
      <c r="Z204" s="84"/>
      <c r="AA204" s="84"/>
    </row>
    <row r="205" spans="19:27" ht="12.75">
      <c r="S205" s="84"/>
      <c r="T205" s="84"/>
      <c r="U205" s="84"/>
      <c r="V205" s="84"/>
      <c r="W205" s="84"/>
      <c r="X205" s="84"/>
      <c r="Y205" s="84"/>
      <c r="Z205" s="84"/>
      <c r="AA205" s="84"/>
    </row>
    <row r="206" spans="19:27" ht="12.75">
      <c r="S206" s="84"/>
      <c r="T206" s="84"/>
      <c r="U206" s="84"/>
      <c r="V206" s="84"/>
      <c r="W206" s="84"/>
      <c r="X206" s="84"/>
      <c r="Y206" s="84"/>
      <c r="Z206" s="84"/>
      <c r="AA206" s="84"/>
    </row>
    <row r="207" spans="19:27" ht="12.75">
      <c r="S207" s="84"/>
      <c r="T207" s="84"/>
      <c r="U207" s="84"/>
      <c r="V207" s="84"/>
      <c r="W207" s="84"/>
      <c r="X207" s="84"/>
      <c r="Y207" s="84"/>
      <c r="Z207" s="84"/>
      <c r="AA207" s="84"/>
    </row>
    <row r="208" spans="19:27" ht="12.75">
      <c r="S208" s="84"/>
      <c r="T208" s="84"/>
      <c r="U208" s="84"/>
      <c r="V208" s="84"/>
      <c r="W208" s="84"/>
      <c r="X208" s="84"/>
      <c r="Y208" s="84"/>
      <c r="Z208" s="84"/>
      <c r="AA208" s="84"/>
    </row>
    <row r="209" spans="19:27" ht="12.75">
      <c r="S209" s="84"/>
      <c r="T209" s="84"/>
      <c r="U209" s="84"/>
      <c r="V209" s="84"/>
      <c r="W209" s="84"/>
      <c r="X209" s="84"/>
      <c r="Y209" s="84"/>
      <c r="Z209" s="84"/>
      <c r="AA209" s="84"/>
    </row>
    <row r="210" spans="19:27" ht="12.75">
      <c r="S210" s="84"/>
      <c r="T210" s="84"/>
      <c r="U210" s="84"/>
      <c r="V210" s="84"/>
      <c r="W210" s="84"/>
      <c r="X210" s="84"/>
      <c r="Y210" s="84"/>
      <c r="Z210" s="84"/>
      <c r="AA210" s="84"/>
    </row>
    <row r="211" spans="19:27" ht="12.75">
      <c r="S211" s="84"/>
      <c r="T211" s="84"/>
      <c r="U211" s="84"/>
      <c r="V211" s="84"/>
      <c r="W211" s="84"/>
      <c r="X211" s="84"/>
      <c r="Y211" s="84"/>
      <c r="Z211" s="84"/>
      <c r="AA211" s="84"/>
    </row>
    <row r="212" spans="19:27" ht="12.75">
      <c r="S212" s="84"/>
      <c r="T212" s="84"/>
      <c r="U212" s="84"/>
      <c r="V212" s="84"/>
      <c r="W212" s="84"/>
      <c r="X212" s="84"/>
      <c r="Y212" s="84"/>
      <c r="Z212" s="84"/>
      <c r="AA212" s="84"/>
    </row>
    <row r="213" spans="19:27" ht="12.75">
      <c r="S213" s="84"/>
      <c r="T213" s="84"/>
      <c r="U213" s="84"/>
      <c r="V213" s="84"/>
      <c r="W213" s="84"/>
      <c r="X213" s="84"/>
      <c r="Y213" s="84"/>
      <c r="Z213" s="84"/>
      <c r="AA213" s="84"/>
    </row>
    <row r="214" spans="19:27" ht="12.75">
      <c r="S214" s="84"/>
      <c r="T214" s="84"/>
      <c r="U214" s="84"/>
      <c r="V214" s="84"/>
      <c r="W214" s="84"/>
      <c r="X214" s="84"/>
      <c r="Y214" s="84"/>
      <c r="Z214" s="84"/>
      <c r="AA214" s="84"/>
    </row>
    <row r="215" spans="19:27" ht="12.75">
      <c r="S215" s="84"/>
      <c r="T215" s="84"/>
      <c r="U215" s="84"/>
      <c r="V215" s="84"/>
      <c r="W215" s="84"/>
      <c r="X215" s="84"/>
      <c r="Y215" s="84"/>
      <c r="Z215" s="84"/>
      <c r="AA215" s="84"/>
    </row>
    <row r="216" spans="19:27" ht="12.75">
      <c r="S216" s="84"/>
      <c r="T216" s="84"/>
      <c r="U216" s="84"/>
      <c r="V216" s="84"/>
      <c r="W216" s="84"/>
      <c r="X216" s="84"/>
      <c r="Y216" s="84"/>
      <c r="Z216" s="84"/>
      <c r="AA216" s="84"/>
    </row>
    <row r="217" spans="19:27" ht="12.75">
      <c r="S217" s="84"/>
      <c r="T217" s="84"/>
      <c r="U217" s="84"/>
      <c r="V217" s="84"/>
      <c r="W217" s="84"/>
      <c r="X217" s="84"/>
      <c r="Y217" s="84"/>
      <c r="Z217" s="84"/>
      <c r="AA217" s="84"/>
    </row>
    <row r="218" spans="19:27" ht="12.75">
      <c r="S218" s="84"/>
      <c r="T218" s="84"/>
      <c r="U218" s="84"/>
      <c r="V218" s="84"/>
      <c r="W218" s="84"/>
      <c r="X218" s="84"/>
      <c r="Y218" s="84"/>
      <c r="Z218" s="84"/>
      <c r="AA218" s="84"/>
    </row>
    <row r="219" spans="19:27" ht="12.75">
      <c r="S219" s="84"/>
      <c r="T219" s="84"/>
      <c r="U219" s="84"/>
      <c r="V219" s="84"/>
      <c r="W219" s="84"/>
      <c r="X219" s="84"/>
      <c r="Y219" s="84"/>
      <c r="Z219" s="84"/>
      <c r="AA219" s="84"/>
    </row>
    <row r="220" spans="19:27" ht="12.75">
      <c r="S220" s="84"/>
      <c r="T220" s="84"/>
      <c r="U220" s="84"/>
      <c r="V220" s="84"/>
      <c r="W220" s="84"/>
      <c r="X220" s="84"/>
      <c r="Y220" s="84"/>
      <c r="Z220" s="84"/>
      <c r="AA220" s="84"/>
    </row>
    <row r="221" spans="19:27" ht="12.75">
      <c r="S221" s="84"/>
      <c r="T221" s="84"/>
      <c r="U221" s="84"/>
      <c r="V221" s="84"/>
      <c r="W221" s="84"/>
      <c r="X221" s="84"/>
      <c r="Y221" s="84"/>
      <c r="Z221" s="84"/>
      <c r="AA221" s="84"/>
    </row>
    <row r="222" spans="19:27" ht="12.75">
      <c r="S222" s="84"/>
      <c r="T222" s="84"/>
      <c r="U222" s="84"/>
      <c r="V222" s="84"/>
      <c r="W222" s="84"/>
      <c r="X222" s="84"/>
      <c r="Y222" s="84"/>
      <c r="Z222" s="84"/>
      <c r="AA222" s="84"/>
    </row>
    <row r="223" spans="19:27" ht="12.75">
      <c r="S223" s="84"/>
      <c r="T223" s="84"/>
      <c r="U223" s="84"/>
      <c r="V223" s="84"/>
      <c r="W223" s="84"/>
      <c r="X223" s="84"/>
      <c r="Y223" s="84"/>
      <c r="Z223" s="84"/>
      <c r="AA223" s="84"/>
    </row>
    <row r="224" spans="19:27" ht="12.75">
      <c r="S224" s="84"/>
      <c r="T224" s="84"/>
      <c r="U224" s="84"/>
      <c r="V224" s="84"/>
      <c r="W224" s="84"/>
      <c r="X224" s="84"/>
      <c r="Y224" s="84"/>
      <c r="Z224" s="84"/>
      <c r="AA224" s="84"/>
    </row>
    <row r="225" spans="19:27" ht="12.75">
      <c r="S225" s="84"/>
      <c r="T225" s="84"/>
      <c r="U225" s="84"/>
      <c r="V225" s="84"/>
      <c r="W225" s="84"/>
      <c r="X225" s="84"/>
      <c r="Y225" s="84"/>
      <c r="Z225" s="84"/>
      <c r="AA225" s="84"/>
    </row>
    <row r="226" spans="19:27" ht="12.75">
      <c r="S226" s="84"/>
      <c r="T226" s="84"/>
      <c r="U226" s="84"/>
      <c r="V226" s="84"/>
      <c r="W226" s="84"/>
      <c r="X226" s="84"/>
      <c r="Y226" s="84"/>
      <c r="Z226" s="84"/>
      <c r="AA226" s="84"/>
    </row>
    <row r="227" spans="19:27" ht="12.75">
      <c r="S227" s="84"/>
      <c r="T227" s="84"/>
      <c r="U227" s="84"/>
      <c r="V227" s="84"/>
      <c r="W227" s="84"/>
      <c r="X227" s="84"/>
      <c r="Y227" s="84"/>
      <c r="Z227" s="84"/>
      <c r="AA227" s="84"/>
    </row>
    <row r="228" spans="19:27" ht="12.75">
      <c r="S228" s="84"/>
      <c r="T228" s="84"/>
      <c r="U228" s="84"/>
      <c r="V228" s="84"/>
      <c r="W228" s="84"/>
      <c r="X228" s="84"/>
      <c r="Y228" s="84"/>
      <c r="Z228" s="84"/>
      <c r="AA228" s="84"/>
    </row>
    <row r="229" spans="19:27" ht="12.75">
      <c r="S229" s="84"/>
      <c r="T229" s="84"/>
      <c r="U229" s="84"/>
      <c r="V229" s="84"/>
      <c r="W229" s="84"/>
      <c r="X229" s="84"/>
      <c r="Y229" s="84"/>
      <c r="Z229" s="84"/>
      <c r="AA229" s="84"/>
    </row>
    <row r="230" spans="19:27" ht="12.75">
      <c r="S230" s="84"/>
      <c r="T230" s="84"/>
      <c r="U230" s="84"/>
      <c r="V230" s="84"/>
      <c r="W230" s="84"/>
      <c r="X230" s="84"/>
      <c r="Y230" s="84"/>
      <c r="Z230" s="84"/>
      <c r="AA230" s="84"/>
    </row>
    <row r="231" spans="19:27" ht="12.75">
      <c r="S231" s="84"/>
      <c r="T231" s="84"/>
      <c r="U231" s="84"/>
      <c r="V231" s="84"/>
      <c r="W231" s="84"/>
      <c r="X231" s="84"/>
      <c r="Y231" s="84"/>
      <c r="Z231" s="84"/>
      <c r="AA231" s="84"/>
    </row>
    <row r="232" spans="19:27" ht="12.75">
      <c r="S232" s="84"/>
      <c r="T232" s="84"/>
      <c r="U232" s="84"/>
      <c r="V232" s="84"/>
      <c r="W232" s="84"/>
      <c r="X232" s="84"/>
      <c r="Y232" s="84"/>
      <c r="Z232" s="84"/>
      <c r="AA232" s="84"/>
    </row>
    <row r="233" spans="19:27" ht="12.75">
      <c r="S233" s="84"/>
      <c r="T233" s="84"/>
      <c r="U233" s="84"/>
      <c r="V233" s="84"/>
      <c r="W233" s="84"/>
      <c r="X233" s="84"/>
      <c r="Y233" s="84"/>
      <c r="Z233" s="84"/>
      <c r="AA233" s="84"/>
    </row>
    <row r="234" spans="19:27" ht="12.75">
      <c r="S234" s="84"/>
      <c r="T234" s="84"/>
      <c r="U234" s="84"/>
      <c r="V234" s="84"/>
      <c r="W234" s="84"/>
      <c r="X234" s="84"/>
      <c r="Y234" s="84"/>
      <c r="Z234" s="84"/>
      <c r="AA234" s="84"/>
    </row>
    <row r="235" spans="19:27" ht="12.75">
      <c r="S235" s="84"/>
      <c r="T235" s="84"/>
      <c r="U235" s="84"/>
      <c r="V235" s="84"/>
      <c r="W235" s="84"/>
      <c r="X235" s="84"/>
      <c r="Y235" s="84"/>
      <c r="Z235" s="84"/>
      <c r="AA235" s="84"/>
    </row>
    <row r="236" spans="19:27" ht="12.75">
      <c r="S236" s="84"/>
      <c r="T236" s="84"/>
      <c r="U236" s="84"/>
      <c r="V236" s="84"/>
      <c r="W236" s="84"/>
      <c r="X236" s="84"/>
      <c r="Y236" s="84"/>
      <c r="Z236" s="84"/>
      <c r="AA236" s="84"/>
    </row>
    <row r="237" spans="19:27" ht="12.75">
      <c r="S237" s="84"/>
      <c r="T237" s="84"/>
      <c r="U237" s="84"/>
      <c r="V237" s="84"/>
      <c r="W237" s="84"/>
      <c r="X237" s="84"/>
      <c r="Y237" s="84"/>
      <c r="Z237" s="84"/>
      <c r="AA237" s="84"/>
    </row>
    <row r="238" spans="19:27" ht="12.75">
      <c r="S238" s="84"/>
      <c r="T238" s="84"/>
      <c r="U238" s="84"/>
      <c r="V238" s="84"/>
      <c r="W238" s="84"/>
      <c r="X238" s="84"/>
      <c r="Y238" s="84"/>
      <c r="Z238" s="84"/>
      <c r="AA238" s="84"/>
    </row>
    <row r="239" spans="19:27" ht="12.75">
      <c r="S239" s="84"/>
      <c r="T239" s="84"/>
      <c r="U239" s="84"/>
      <c r="V239" s="84"/>
      <c r="W239" s="84"/>
      <c r="X239" s="84"/>
      <c r="Y239" s="84"/>
      <c r="Z239" s="84"/>
      <c r="AA239" s="84"/>
    </row>
    <row r="240" spans="19:27" ht="12.75">
      <c r="S240" s="84"/>
      <c r="T240" s="84"/>
      <c r="U240" s="84"/>
      <c r="V240" s="84"/>
      <c r="W240" s="84"/>
      <c r="X240" s="84"/>
      <c r="Y240" s="84"/>
      <c r="Z240" s="84"/>
      <c r="AA240" s="84"/>
    </row>
    <row r="241" spans="19:27" ht="12.75">
      <c r="S241" s="84"/>
      <c r="T241" s="84"/>
      <c r="U241" s="84"/>
      <c r="V241" s="84"/>
      <c r="W241" s="84"/>
      <c r="X241" s="84"/>
      <c r="Y241" s="84"/>
      <c r="Z241" s="84"/>
      <c r="AA241" s="84"/>
    </row>
    <row r="242" spans="19:27" ht="12.75">
      <c r="S242" s="84"/>
      <c r="T242" s="84"/>
      <c r="U242" s="84"/>
      <c r="V242" s="84"/>
      <c r="W242" s="84"/>
      <c r="X242" s="84"/>
      <c r="Y242" s="84"/>
      <c r="Z242" s="84"/>
      <c r="AA242" s="84"/>
    </row>
    <row r="243" spans="19:27" ht="12.75">
      <c r="S243" s="84"/>
      <c r="T243" s="84"/>
      <c r="U243" s="84"/>
      <c r="V243" s="84"/>
      <c r="W243" s="84"/>
      <c r="X243" s="84"/>
      <c r="Y243" s="84"/>
      <c r="Z243" s="84"/>
      <c r="AA243" s="84"/>
    </row>
    <row r="244" spans="19:27" ht="12.75">
      <c r="S244" s="84"/>
      <c r="T244" s="84"/>
      <c r="U244" s="84"/>
      <c r="V244" s="84"/>
      <c r="W244" s="84"/>
      <c r="X244" s="84"/>
      <c r="Y244" s="84"/>
      <c r="Z244" s="84"/>
      <c r="AA244" s="84"/>
    </row>
    <row r="245" spans="19:27" ht="12.75">
      <c r="S245" s="84"/>
      <c r="T245" s="84"/>
      <c r="U245" s="84"/>
      <c r="V245" s="84"/>
      <c r="W245" s="84"/>
      <c r="X245" s="84"/>
      <c r="Y245" s="84"/>
      <c r="Z245" s="84"/>
      <c r="AA245" s="84"/>
    </row>
    <row r="246" spans="19:27" ht="12.75">
      <c r="S246" s="84"/>
      <c r="T246" s="84"/>
      <c r="U246" s="84"/>
      <c r="V246" s="84"/>
      <c r="W246" s="84"/>
      <c r="X246" s="84"/>
      <c r="Y246" s="84"/>
      <c r="Z246" s="84"/>
      <c r="AA246" s="84"/>
    </row>
    <row r="247" spans="19:27" ht="12.75">
      <c r="S247" s="84"/>
      <c r="T247" s="84"/>
      <c r="U247" s="84"/>
      <c r="V247" s="84"/>
      <c r="W247" s="84"/>
      <c r="X247" s="84"/>
      <c r="Y247" s="84"/>
      <c r="Z247" s="84"/>
      <c r="AA247" s="84"/>
    </row>
    <row r="248" spans="19:27" ht="12.75">
      <c r="S248" s="84"/>
      <c r="T248" s="84"/>
      <c r="U248" s="84"/>
      <c r="V248" s="84"/>
      <c r="W248" s="84"/>
      <c r="X248" s="84"/>
      <c r="Y248" s="84"/>
      <c r="Z248" s="84"/>
      <c r="AA248" s="84"/>
    </row>
    <row r="249" spans="19:27" ht="12.75">
      <c r="S249" s="84"/>
      <c r="T249" s="84"/>
      <c r="U249" s="84"/>
      <c r="V249" s="84"/>
      <c r="W249" s="84"/>
      <c r="X249" s="84"/>
      <c r="Y249" s="84"/>
      <c r="Z249" s="84"/>
      <c r="AA249" s="84"/>
    </row>
    <row r="250" spans="19:27" ht="12.75">
      <c r="S250" s="84"/>
      <c r="T250" s="84"/>
      <c r="U250" s="84"/>
      <c r="V250" s="84"/>
      <c r="W250" s="84"/>
      <c r="X250" s="84"/>
      <c r="Y250" s="84"/>
      <c r="Z250" s="84"/>
      <c r="AA250" s="84"/>
    </row>
    <row r="251" spans="19:27" ht="12.75">
      <c r="S251" s="84"/>
      <c r="T251" s="84"/>
      <c r="U251" s="84"/>
      <c r="V251" s="84"/>
      <c r="W251" s="84"/>
      <c r="X251" s="84"/>
      <c r="Y251" s="84"/>
      <c r="Z251" s="84"/>
      <c r="AA251" s="84"/>
    </row>
    <row r="252" spans="19:27" ht="12.75">
      <c r="S252" s="84"/>
      <c r="T252" s="84"/>
      <c r="U252" s="84"/>
      <c r="V252" s="84"/>
      <c r="W252" s="84"/>
      <c r="X252" s="84"/>
      <c r="Y252" s="84"/>
      <c r="Z252" s="84"/>
      <c r="AA252" s="84"/>
    </row>
    <row r="253" spans="19:27" ht="12.75">
      <c r="S253" s="84"/>
      <c r="T253" s="84"/>
      <c r="U253" s="84"/>
      <c r="V253" s="84"/>
      <c r="W253" s="84"/>
      <c r="X253" s="84"/>
      <c r="Y253" s="84"/>
      <c r="Z253" s="84"/>
      <c r="AA253" s="84"/>
    </row>
    <row r="254" spans="19:27" ht="12.75">
      <c r="S254" s="84"/>
      <c r="T254" s="84"/>
      <c r="U254" s="84"/>
      <c r="V254" s="84"/>
      <c r="W254" s="84"/>
      <c r="X254" s="84"/>
      <c r="Y254" s="84"/>
      <c r="Z254" s="84"/>
      <c r="AA254" s="84"/>
    </row>
    <row r="255" spans="19:27" ht="12.75">
      <c r="S255" s="84"/>
      <c r="T255" s="84"/>
      <c r="U255" s="84"/>
      <c r="V255" s="84"/>
      <c r="W255" s="84"/>
      <c r="X255" s="84"/>
      <c r="Y255" s="84"/>
      <c r="Z255" s="84"/>
      <c r="AA255" s="84"/>
    </row>
    <row r="256" spans="19:27" ht="12.75">
      <c r="S256" s="84"/>
      <c r="T256" s="84"/>
      <c r="U256" s="84"/>
      <c r="V256" s="84"/>
      <c r="W256" s="84"/>
      <c r="X256" s="84"/>
      <c r="Y256" s="84"/>
      <c r="Z256" s="84"/>
      <c r="AA256" s="84"/>
    </row>
    <row r="257" spans="19:27" ht="12.75">
      <c r="S257" s="84"/>
      <c r="T257" s="84"/>
      <c r="U257" s="84"/>
      <c r="V257" s="84"/>
      <c r="W257" s="84"/>
      <c r="X257" s="84"/>
      <c r="Y257" s="84"/>
      <c r="Z257" s="84"/>
      <c r="AA257" s="84"/>
    </row>
    <row r="258" spans="19:27" ht="12.75">
      <c r="S258" s="84"/>
      <c r="T258" s="84"/>
      <c r="U258" s="84"/>
      <c r="V258" s="84"/>
      <c r="W258" s="84"/>
      <c r="X258" s="84"/>
      <c r="Y258" s="84"/>
      <c r="Z258" s="84"/>
      <c r="AA258" s="84"/>
    </row>
    <row r="259" spans="19:27" ht="12.75">
      <c r="S259" s="84"/>
      <c r="T259" s="84"/>
      <c r="U259" s="84"/>
      <c r="V259" s="84"/>
      <c r="W259" s="84"/>
      <c r="X259" s="84"/>
      <c r="Y259" s="84"/>
      <c r="Z259" s="84"/>
      <c r="AA259" s="84"/>
    </row>
  </sheetData>
  <sheetProtection/>
  <printOptions/>
  <pageMargins left="0.75" right="0.75" top="1" bottom="1" header="0.5" footer="0.5"/>
  <pageSetup horizontalDpi="300" verticalDpi="300" orientation="portrait" r:id="rId3"/>
  <drawing r:id="rId2"/>
  <legacyDrawing r:id="rId1"/>
</worksheet>
</file>

<file path=xl/worksheets/sheet16.xml><?xml version="1.0" encoding="utf-8"?>
<worksheet xmlns="http://schemas.openxmlformats.org/spreadsheetml/2006/main" xmlns:r="http://schemas.openxmlformats.org/officeDocument/2006/relationships">
  <sheetPr codeName="Sheet13"/>
  <dimension ref="A2:AJ38"/>
  <sheetViews>
    <sheetView zoomScalePageLayoutView="0" workbookViewId="0" topLeftCell="A1">
      <selection activeCell="A1" sqref="A1"/>
    </sheetView>
  </sheetViews>
  <sheetFormatPr defaultColWidth="9.140625" defaultRowHeight="12.75"/>
  <cols>
    <col min="7" max="7" width="12.421875" style="0" bestFit="1" customWidth="1"/>
    <col min="15" max="15" width="9.57421875" style="0" bestFit="1" customWidth="1"/>
    <col min="28" max="29" width="9.57421875" style="0" bestFit="1" customWidth="1"/>
  </cols>
  <sheetData>
    <row r="2" ht="12.75">
      <c r="A2" t="s">
        <v>914</v>
      </c>
    </row>
    <row r="7" spans="3:27" ht="12.75">
      <c r="C7" t="s">
        <v>624</v>
      </c>
      <c r="I7" t="s">
        <v>625</v>
      </c>
      <c r="O7" t="s">
        <v>626</v>
      </c>
      <c r="V7" t="s">
        <v>627</v>
      </c>
      <c r="AA7" t="s">
        <v>628</v>
      </c>
    </row>
    <row r="8" spans="3:36" ht="12.75">
      <c r="C8" t="s">
        <v>629</v>
      </c>
      <c r="I8" t="s">
        <v>630</v>
      </c>
      <c r="O8" t="s">
        <v>631</v>
      </c>
      <c r="V8" t="s">
        <v>632</v>
      </c>
      <c r="AA8" t="s">
        <v>633</v>
      </c>
      <c r="AH8" s="19" t="s">
        <v>108</v>
      </c>
      <c r="AI8" s="19" t="s">
        <v>123</v>
      </c>
      <c r="AJ8" s="19" t="s">
        <v>124</v>
      </c>
    </row>
    <row r="9" spans="3:36" ht="12.75">
      <c r="C9" s="19" t="s">
        <v>18</v>
      </c>
      <c r="D9" s="19" t="s">
        <v>19</v>
      </c>
      <c r="E9" s="19" t="s">
        <v>5</v>
      </c>
      <c r="F9" s="19" t="s">
        <v>634</v>
      </c>
      <c r="G9" t="s">
        <v>635</v>
      </c>
      <c r="H9" s="19" t="s">
        <v>636</v>
      </c>
      <c r="I9" s="19" t="s">
        <v>18</v>
      </c>
      <c r="J9" s="19" t="s">
        <v>19</v>
      </c>
      <c r="K9" s="19" t="s">
        <v>637</v>
      </c>
      <c r="L9" s="19" t="s">
        <v>638</v>
      </c>
      <c r="M9" s="19" t="s">
        <v>635</v>
      </c>
      <c r="N9" s="19" t="s">
        <v>639</v>
      </c>
      <c r="O9" s="19" t="s">
        <v>18</v>
      </c>
      <c r="P9" s="19" t="s">
        <v>19</v>
      </c>
      <c r="Q9" s="19" t="s">
        <v>5</v>
      </c>
      <c r="R9" s="19" t="s">
        <v>634</v>
      </c>
      <c r="S9" s="19" t="s">
        <v>635</v>
      </c>
      <c r="T9" s="19" t="s">
        <v>4</v>
      </c>
      <c r="U9" s="19" t="s">
        <v>107</v>
      </c>
      <c r="V9" s="19" t="s">
        <v>18</v>
      </c>
      <c r="W9" s="19" t="s">
        <v>19</v>
      </c>
      <c r="X9" s="19" t="s">
        <v>5</v>
      </c>
      <c r="Y9" s="19" t="s">
        <v>635</v>
      </c>
      <c r="Z9" s="19" t="s">
        <v>141</v>
      </c>
      <c r="AA9" s="19" t="s">
        <v>18</v>
      </c>
      <c r="AB9" s="19" t="s">
        <v>19</v>
      </c>
      <c r="AC9" s="19" t="s">
        <v>5</v>
      </c>
      <c r="AD9" s="19" t="s">
        <v>634</v>
      </c>
      <c r="AE9" s="19" t="s">
        <v>640</v>
      </c>
      <c r="AF9" s="19" t="s">
        <v>635</v>
      </c>
      <c r="AG9" s="19" t="s">
        <v>103</v>
      </c>
      <c r="AH9" s="19" t="s">
        <v>84</v>
      </c>
      <c r="AI9" s="19" t="s">
        <v>5</v>
      </c>
      <c r="AJ9" s="19" t="s">
        <v>5</v>
      </c>
    </row>
    <row r="10" spans="1:36" ht="12.75">
      <c r="A10" t="s">
        <v>641</v>
      </c>
      <c r="B10" t="s">
        <v>642</v>
      </c>
      <c r="C10">
        <v>62.873</v>
      </c>
      <c r="D10" s="226">
        <v>0.58913</v>
      </c>
      <c r="E10" s="226">
        <v>-0.0023588</v>
      </c>
      <c r="F10" s="226">
        <v>4.2257E-06</v>
      </c>
      <c r="G10" s="226">
        <v>298</v>
      </c>
      <c r="H10" s="226">
        <f>C10+D10*G10+E10*G10^2+F10*G10^3</f>
        <v>140.7900655144</v>
      </c>
      <c r="I10" s="226">
        <v>0.2283</v>
      </c>
      <c r="J10" s="226">
        <v>0.2724</v>
      </c>
      <c r="K10" s="226">
        <v>0.2863</v>
      </c>
      <c r="L10" s="226">
        <v>425.18</v>
      </c>
      <c r="M10" s="226">
        <v>25</v>
      </c>
      <c r="N10" s="226">
        <f>I10*J10^-((1-(M10+273.15)/L10)^K10)</f>
        <v>0.5729985220281039</v>
      </c>
      <c r="O10" s="226">
        <v>-6.859</v>
      </c>
      <c r="P10" s="226">
        <v>673.93</v>
      </c>
      <c r="Q10" s="226">
        <v>0.022</v>
      </c>
      <c r="R10" s="226">
        <v>-3.0686E-05</v>
      </c>
      <c r="S10" s="226">
        <v>298.15</v>
      </c>
      <c r="T10" s="226">
        <f>10^(O10+P10/S10+Q10*S10+R10*S10^2)</f>
        <v>0.17095772622737743</v>
      </c>
      <c r="U10" s="226">
        <v>58.123</v>
      </c>
      <c r="V10" s="226">
        <v>0.2384</v>
      </c>
      <c r="W10" s="226">
        <v>-0.00037626</v>
      </c>
      <c r="X10" s="226">
        <v>-2.5291E-07</v>
      </c>
      <c r="Y10" s="226">
        <v>298.15</v>
      </c>
      <c r="Z10" s="226">
        <f>V10+W10*Y10+X10*Y10^2</f>
        <v>0.10373604551552501</v>
      </c>
      <c r="AA10" s="226">
        <v>27.044</v>
      </c>
      <c r="AB10" s="226">
        <v>-1904.9</v>
      </c>
      <c r="AC10" s="226">
        <v>-7.1805</v>
      </c>
      <c r="AD10" s="226">
        <v>-6.6845E-11</v>
      </c>
      <c r="AE10" s="226">
        <v>4.219E-06</v>
      </c>
      <c r="AF10" s="226">
        <v>298.15</v>
      </c>
      <c r="AG10" s="226">
        <f>10^(AA10+AB10/AF10+AC10*LOG(AF10)+AD10*AF10+AE10*AF10^2)</f>
        <v>1829.3476361263436</v>
      </c>
      <c r="AH10">
        <v>386.116</v>
      </c>
      <c r="AI10">
        <v>-59.44444444444444</v>
      </c>
      <c r="AJ10">
        <v>-0.4444444444444448</v>
      </c>
    </row>
    <row r="11" spans="1:36" ht="12.75">
      <c r="A11" t="s">
        <v>643</v>
      </c>
      <c r="B11" t="s">
        <v>644</v>
      </c>
      <c r="C11">
        <v>80.641</v>
      </c>
      <c r="D11" s="226">
        <v>0.62195</v>
      </c>
      <c r="E11" s="226">
        <v>-0.0022682</v>
      </c>
      <c r="F11" s="226">
        <v>3.7423E-06</v>
      </c>
      <c r="G11" s="226">
        <v>298.15</v>
      </c>
      <c r="H11" s="226">
        <f>C11+D11*G11+E11*G11^2+F11*G11^3</f>
        <v>163.63165626023473</v>
      </c>
      <c r="I11" s="226">
        <v>0.2314</v>
      </c>
      <c r="J11" s="226">
        <v>0.2692</v>
      </c>
      <c r="K11" s="226">
        <v>0.2822</v>
      </c>
      <c r="L11" s="226">
        <v>469.65</v>
      </c>
      <c r="M11" s="226">
        <v>25</v>
      </c>
      <c r="N11" s="226">
        <f>I11*J11^-((1-(M11+273.15)/L11)^K11)</f>
        <v>0.6212403297879061</v>
      </c>
      <c r="O11" s="226">
        <v>-7.1711</v>
      </c>
      <c r="P11" s="226">
        <v>747.36</v>
      </c>
      <c r="Q11" s="226">
        <v>0.0217</v>
      </c>
      <c r="R11" s="226">
        <v>-2.7176E-05</v>
      </c>
      <c r="S11" s="226">
        <v>298.15</v>
      </c>
      <c r="T11" s="226">
        <f>10^(O11+P11/S11+Q11*S11+R11*S11^2)</f>
        <v>0.24527036239418465</v>
      </c>
      <c r="U11" s="226">
        <v>72.15</v>
      </c>
      <c r="V11" s="226">
        <v>0.1877</v>
      </c>
      <c r="W11" s="226">
        <v>-3.7842E-06</v>
      </c>
      <c r="X11" s="226">
        <v>-4.3481E-07</v>
      </c>
      <c r="Y11" s="226">
        <v>298.15</v>
      </c>
      <c r="Z11" s="226">
        <f>V11+W11*Y11+X11*Y11^2</f>
        <v>0.147919991732775</v>
      </c>
      <c r="AA11" s="226">
        <v>33.324</v>
      </c>
      <c r="AB11" s="226">
        <v>-2422.7</v>
      </c>
      <c r="AC11" s="226">
        <v>-9.2354</v>
      </c>
      <c r="AD11" s="226">
        <v>9.0199E-11</v>
      </c>
      <c r="AE11" s="226">
        <v>4.105E-06</v>
      </c>
      <c r="AF11" s="226">
        <v>298.15</v>
      </c>
      <c r="AG11" s="226">
        <f>10^(AA11+AB11/AF11+AC11*LOG(AF11)+AD11*AF11+AE11*AF11^2)</f>
        <v>513.7320156354604</v>
      </c>
      <c r="AH11">
        <v>357.5062</v>
      </c>
      <c r="AI11">
        <v>-49.44444444444444</v>
      </c>
      <c r="AJ11">
        <v>36.05555555555556</v>
      </c>
    </row>
    <row r="12" spans="1:36" ht="12.75">
      <c r="A12" t="s">
        <v>645</v>
      </c>
      <c r="B12" t="s">
        <v>646</v>
      </c>
      <c r="C12">
        <v>78.848</v>
      </c>
      <c r="D12" s="226">
        <v>0.88729</v>
      </c>
      <c r="E12" s="226">
        <v>-0.0029482</v>
      </c>
      <c r="F12" s="226">
        <v>4.1999E-06</v>
      </c>
      <c r="G12" s="226">
        <v>298.15</v>
      </c>
      <c r="H12" s="226">
        <f>C12+D12*G12+E12*G12^2+F12*G12^3</f>
        <v>192.63028538528312</v>
      </c>
      <c r="I12" s="226">
        <v>0.2324</v>
      </c>
      <c r="J12" s="226">
        <v>0.265</v>
      </c>
      <c r="K12" s="226">
        <v>0.2781</v>
      </c>
      <c r="L12" s="226">
        <v>507.43</v>
      </c>
      <c r="M12" s="226">
        <v>25</v>
      </c>
      <c r="N12" s="226">
        <f>I12*J12^-((1-(M12+273.15)/L12)^K12)</f>
        <v>0.6562564358572783</v>
      </c>
      <c r="O12" s="226">
        <v>-5.0715</v>
      </c>
      <c r="P12" s="226">
        <v>655.36</v>
      </c>
      <c r="Q12" s="226">
        <v>0.0123</v>
      </c>
      <c r="R12" s="226">
        <v>-1.5042E-05</v>
      </c>
      <c r="S12" s="226">
        <v>298.15</v>
      </c>
      <c r="T12" s="226">
        <f>10^(O12+P12/S12+Q12*S12+R12*S12^2)</f>
        <v>0.2862189270775439</v>
      </c>
      <c r="U12">
        <v>86.177</v>
      </c>
      <c r="V12" s="226">
        <v>0.2096</v>
      </c>
      <c r="W12" s="226">
        <v>-0.00022594</v>
      </c>
      <c r="X12" s="226">
        <v>-2.3421E-07</v>
      </c>
      <c r="Y12" s="226">
        <v>298.15</v>
      </c>
      <c r="Z12" s="226">
        <f>V12+W12*Y12+X12*Y12^2</f>
        <v>0.121416260516275</v>
      </c>
      <c r="AA12" s="226">
        <v>69.738</v>
      </c>
      <c r="AB12" s="226">
        <v>-3627.8</v>
      </c>
      <c r="AC12" s="226">
        <v>-23.927</v>
      </c>
      <c r="AD12" s="226">
        <v>0.01281</v>
      </c>
      <c r="AE12" s="226">
        <v>-1.6844E-13</v>
      </c>
      <c r="AF12" s="226">
        <v>298.15</v>
      </c>
      <c r="AG12" s="226">
        <f>10^(AA12+AB12/AF12+AC12*LOG(AF12)+AD12*AF12+AE12*AF12^2)</f>
        <v>152.68587995072355</v>
      </c>
      <c r="AH12">
        <v>334.944</v>
      </c>
      <c r="AI12">
        <v>-21.666666666666668</v>
      </c>
      <c r="AJ12">
        <v>68.77777777777779</v>
      </c>
    </row>
    <row r="13" spans="1:36" ht="12.75">
      <c r="A13" t="s">
        <v>647</v>
      </c>
      <c r="B13" t="s">
        <v>648</v>
      </c>
      <c r="C13">
        <v>82.736</v>
      </c>
      <c r="D13" s="226">
        <v>1.3043</v>
      </c>
      <c r="E13" s="226">
        <v>-0.0038254</v>
      </c>
      <c r="F13" s="226">
        <v>4.6459E-06</v>
      </c>
      <c r="G13" s="226">
        <v>298.15</v>
      </c>
      <c r="H13" s="226">
        <f>C13+D13*G13+E13*G13^2+F13*G13^3</f>
        <v>254.69310063587835</v>
      </c>
      <c r="I13" s="226">
        <v>0.2281</v>
      </c>
      <c r="J13" s="226">
        <v>0.2548</v>
      </c>
      <c r="K13" s="226">
        <v>0.2694</v>
      </c>
      <c r="L13" s="226">
        <v>568.83</v>
      </c>
      <c r="M13" s="226">
        <v>25</v>
      </c>
      <c r="N13" s="226">
        <f>I13*J13^-((1-(M13+273.15)/L13)^K13)</f>
        <v>0.6986422362467746</v>
      </c>
      <c r="O13" s="226">
        <v>-5.9245</v>
      </c>
      <c r="P13" s="226">
        <v>888.09</v>
      </c>
      <c r="Q13" s="226">
        <v>0.013</v>
      </c>
      <c r="R13" s="226">
        <v>-1.3596E-05</v>
      </c>
      <c r="S13" s="226">
        <v>298.15</v>
      </c>
      <c r="T13" s="226">
        <f>10^(O13+P13/S13+Q13*S13+R13*S13^2)</f>
        <v>0.5266516912272271</v>
      </c>
      <c r="U13" s="226">
        <v>114.231</v>
      </c>
      <c r="V13" s="226">
        <v>0.1996</v>
      </c>
      <c r="W13" s="226">
        <v>-0.00017706</v>
      </c>
      <c r="X13" s="226">
        <v>-1.9969E-07</v>
      </c>
      <c r="Y13" s="226">
        <v>298.15</v>
      </c>
      <c r="Z13" s="226">
        <f>V13+W13*Y13+X13*Y13^2</f>
        <v>0.129058433460975</v>
      </c>
      <c r="AA13" s="226">
        <v>29.095</v>
      </c>
      <c r="AB13" s="226">
        <v>-3011.4</v>
      </c>
      <c r="AC13" s="226">
        <v>-7.2653</v>
      </c>
      <c r="AD13" s="226">
        <v>-2.2696E-11</v>
      </c>
      <c r="AE13" s="226">
        <v>1.468E-06</v>
      </c>
      <c r="AF13" s="226">
        <v>298.15</v>
      </c>
      <c r="AG13" s="226">
        <f>10^(AA13+AB13/AF13+AC13*LOG(AF13)+AD13*AF13+AE13*AF13^2)</f>
        <v>14.050739893634422</v>
      </c>
      <c r="AH13">
        <v>302.38</v>
      </c>
      <c r="AI13">
        <v>13.333333333333332</v>
      </c>
      <c r="AJ13">
        <v>125.66666666666666</v>
      </c>
    </row>
    <row r="23" spans="5:11" ht="12.75">
      <c r="E23" s="71" t="s">
        <v>116</v>
      </c>
      <c r="F23" s="72"/>
      <c r="G23" s="73" t="str">
        <f ca="1">OFFSET(FlName,RR,0)</f>
        <v>Octane</v>
      </c>
      <c r="H23" s="72"/>
      <c r="I23" s="74"/>
      <c r="J23" s="58"/>
      <c r="K23" s="75"/>
    </row>
    <row r="24" spans="5:11" ht="12.75">
      <c r="E24" s="76" t="s">
        <v>118</v>
      </c>
      <c r="F24" s="77"/>
      <c r="G24" s="78"/>
      <c r="H24" s="77"/>
      <c r="I24" s="61"/>
      <c r="J24" s="61"/>
      <c r="K24" s="79"/>
    </row>
    <row r="25" spans="5:11" ht="12.75">
      <c r="E25" s="76" t="s">
        <v>120</v>
      </c>
      <c r="F25" s="77"/>
      <c r="G25" s="78" t="s">
        <v>469</v>
      </c>
      <c r="H25" s="77"/>
      <c r="I25" s="61"/>
      <c r="J25" s="61" t="s">
        <v>108</v>
      </c>
      <c r="K25" s="81">
        <f ca="1">OFFSET(Mhv,RR,0)</f>
        <v>302.38</v>
      </c>
    </row>
    <row r="26" spans="5:11" ht="12.75">
      <c r="E26" s="76" t="s">
        <v>122</v>
      </c>
      <c r="F26" s="77"/>
      <c r="G26" s="78"/>
      <c r="H26" s="80" t="s">
        <v>654</v>
      </c>
      <c r="I26" s="61"/>
      <c r="J26" s="61" t="s">
        <v>123</v>
      </c>
      <c r="K26" s="81">
        <f ca="1">OFFSET(Mfp,RR,0)</f>
        <v>13.333333333333332</v>
      </c>
    </row>
    <row r="27" spans="5:11" ht="12.75">
      <c r="E27" s="76"/>
      <c r="F27" s="77"/>
      <c r="G27" s="78"/>
      <c r="H27" s="80" t="s">
        <v>655</v>
      </c>
      <c r="I27" s="61"/>
      <c r="J27" s="61" t="s">
        <v>124</v>
      </c>
      <c r="K27" s="81">
        <f ca="1">OFFSET(Mbp,RR,0)</f>
        <v>125.66666666666666</v>
      </c>
    </row>
    <row r="28" spans="5:11" ht="12.75">
      <c r="E28" s="82" t="s">
        <v>125</v>
      </c>
      <c r="F28" s="61"/>
      <c r="G28" s="83" t="s">
        <v>656</v>
      </c>
      <c r="H28" s="61"/>
      <c r="I28" s="61"/>
      <c r="J28" s="61" t="s">
        <v>456</v>
      </c>
      <c r="K28" s="81">
        <f ca="1">OFFSET(MMW,RR,0)</f>
        <v>114.231</v>
      </c>
    </row>
    <row r="29" spans="5:11" ht="12.75">
      <c r="E29" s="85"/>
      <c r="F29" s="77"/>
      <c r="G29" s="77"/>
      <c r="H29" s="77"/>
      <c r="I29" s="77"/>
      <c r="J29" s="77"/>
      <c r="K29" s="86"/>
    </row>
    <row r="30" spans="6:11" ht="12.75">
      <c r="F30" s="82"/>
      <c r="G30" s="89" t="s">
        <v>16</v>
      </c>
      <c r="H30" s="61"/>
      <c r="I30" s="89" t="s">
        <v>130</v>
      </c>
      <c r="J30" s="61"/>
      <c r="K30" s="89" t="s">
        <v>22</v>
      </c>
    </row>
    <row r="31" spans="6:11" ht="12.75">
      <c r="F31" s="93" t="s">
        <v>132</v>
      </c>
      <c r="G31" s="89" t="s">
        <v>0</v>
      </c>
      <c r="H31" s="89" t="s">
        <v>133</v>
      </c>
      <c r="I31" s="89" t="s">
        <v>134</v>
      </c>
      <c r="J31" s="89" t="s">
        <v>135</v>
      </c>
      <c r="K31" s="89" t="s">
        <v>136</v>
      </c>
    </row>
    <row r="32" spans="5:11" ht="12.75">
      <c r="E32" s="227" t="s">
        <v>649</v>
      </c>
      <c r="F32" s="97" t="s">
        <v>143</v>
      </c>
      <c r="G32" s="98" t="s">
        <v>650</v>
      </c>
      <c r="H32" s="98" t="s">
        <v>651</v>
      </c>
      <c r="I32" s="98" t="s">
        <v>652</v>
      </c>
      <c r="J32" s="98" t="s">
        <v>4</v>
      </c>
      <c r="K32" s="99" t="s">
        <v>103</v>
      </c>
    </row>
    <row r="33" spans="3:11" ht="12.75">
      <c r="C33" t="s">
        <v>653</v>
      </c>
      <c r="D33" s="45">
        <v>4</v>
      </c>
      <c r="E33">
        <f aca="true" t="shared" si="0" ref="E33:E38">F33+273.15</f>
        <v>253.14999999999998</v>
      </c>
      <c r="F33" s="106">
        <v>-20</v>
      </c>
      <c r="G33" s="228">
        <f aca="true" ca="1" t="shared" si="1" ref="G33:G38">(OFFSET(Density,RR,0)*OFFSET(Density,RR,1)^-((1-E33/OFFSET(Density,RR,3))^OFFSET(Density,RR,2)))*1000</f>
        <v>732.519128169923</v>
      </c>
      <c r="H33" s="228">
        <f aca="true" ca="1" t="shared" si="2" ref="H33:H38">(OFFSET(HC,RR,0)+OFFSET(HC,RR,1)*E33+OFFSET(HC,RR,2)*E33^2+OFFSET(HC,RR,3)*E33^3)/OFFSET(MMW,RR,0)</f>
        <v>2.128493789555656</v>
      </c>
      <c r="I33" s="229">
        <f aca="true" ca="1" t="shared" si="3" ref="I33:I38">OFFSET(TC,RR,0)+OFFSET(TC,RR,1)*E33+OFFSET(TC,RR,2)*E33^2</f>
        <v>0.14198014282597501</v>
      </c>
      <c r="J33" s="228">
        <f aca="true" ca="1" t="shared" si="4" ref="J33:J38">10^(OFFSET(Viscosity,RR,0)+OFFSET(Viscosity,RR,1)/E33+OFFSET(Viscosity,RR,2)*E33+OFFSET(Viscosity,RR,3)*E33^2)</f>
        <v>1.0076474559080861</v>
      </c>
      <c r="K33" s="232">
        <f aca="true" ca="1" t="shared" si="5" ref="K33:K38">10^(OFFSET(VP,RR,0)+OFFSET(VP,RR,1)/E33+OFFSET(VP,RR,2)*LOG(E33)+OFFSET(VP,RR,3)*E33+OFFSET(VP,RR,4)*E33^2)</f>
        <v>0.6793615597453583</v>
      </c>
    </row>
    <row r="34" spans="5:11" ht="12.75">
      <c r="E34">
        <f t="shared" si="0"/>
        <v>293.15</v>
      </c>
      <c r="F34" s="106">
        <v>20</v>
      </c>
      <c r="G34" s="228">
        <f ca="1" t="shared" si="1"/>
        <v>702.5186185803447</v>
      </c>
      <c r="H34" s="228">
        <f ca="1" t="shared" si="2"/>
        <v>2.2182231955936844</v>
      </c>
      <c r="I34" s="229">
        <f ca="1" t="shared" si="3"/>
        <v>0.130534116945975</v>
      </c>
      <c r="J34" s="228">
        <f ca="1" t="shared" si="4"/>
        <v>0.5591451571434347</v>
      </c>
      <c r="K34" s="233">
        <f ca="1" t="shared" si="5"/>
        <v>10.579141944556135</v>
      </c>
    </row>
    <row r="35" spans="5:11" ht="12.75">
      <c r="E35">
        <f t="shared" si="0"/>
        <v>333.15</v>
      </c>
      <c r="F35" s="106">
        <v>60</v>
      </c>
      <c r="G35" s="228">
        <f ca="1" t="shared" si="1"/>
        <v>670.5873998047717</v>
      </c>
      <c r="H35" s="228">
        <f ca="1" t="shared" si="2"/>
        <v>2.3152483235986043</v>
      </c>
      <c r="I35" s="229">
        <f ca="1" t="shared" si="3"/>
        <v>0.11844908306597503</v>
      </c>
      <c r="J35" s="228">
        <f ca="1" t="shared" si="4"/>
        <v>0.36574699327658383</v>
      </c>
      <c r="K35" s="232">
        <f ca="1" t="shared" si="5"/>
        <v>77.80815537731706</v>
      </c>
    </row>
    <row r="36" spans="5:11" ht="12.75">
      <c r="E36">
        <f t="shared" si="0"/>
        <v>373.15</v>
      </c>
      <c r="F36" s="106">
        <v>100</v>
      </c>
      <c r="G36" s="228">
        <f ca="1" t="shared" si="1"/>
        <v>636.1610249273693</v>
      </c>
      <c r="H36" s="228">
        <f ca="1" t="shared" si="2"/>
        <v>2.435186874544758</v>
      </c>
      <c r="I36" s="229">
        <f ca="1" t="shared" si="3"/>
        <v>0.105725041185975</v>
      </c>
      <c r="J36" s="228">
        <f ca="1" t="shared" si="4"/>
        <v>0.25900709355297696</v>
      </c>
      <c r="K36" s="233">
        <f ca="1" t="shared" si="5"/>
        <v>349.69370529031386</v>
      </c>
    </row>
    <row r="37" spans="5:11" ht="12.75">
      <c r="E37">
        <f t="shared" si="0"/>
        <v>393.15</v>
      </c>
      <c r="F37" s="106">
        <v>120</v>
      </c>
      <c r="G37" s="228">
        <f ca="1" t="shared" si="1"/>
        <v>617.7531281096738</v>
      </c>
      <c r="H37" s="228">
        <f ca="1" t="shared" si="2"/>
        <v>2.508629215175278</v>
      </c>
      <c r="I37" s="229">
        <f ca="1" t="shared" si="3"/>
        <v>0.09912339224597501</v>
      </c>
      <c r="J37" s="228">
        <f ca="1" t="shared" si="4"/>
        <v>0.2207328318992633</v>
      </c>
      <c r="K37" s="232">
        <f ca="1" t="shared" si="5"/>
        <v>648.6166318070453</v>
      </c>
    </row>
    <row r="38" spans="5:11" ht="12.75">
      <c r="E38">
        <f t="shared" si="0"/>
        <v>413.15</v>
      </c>
      <c r="F38" s="111">
        <v>140</v>
      </c>
      <c r="G38" s="230">
        <f ca="1" t="shared" si="1"/>
        <v>598.3474242141475</v>
      </c>
      <c r="H38" s="230">
        <f ca="1" t="shared" si="2"/>
        <v>2.593656549406484</v>
      </c>
      <c r="I38" s="231">
        <f ca="1" t="shared" si="3"/>
        <v>0.092361991305975</v>
      </c>
      <c r="J38" s="230">
        <f ca="1" t="shared" si="4"/>
        <v>0.18848087857265342</v>
      </c>
      <c r="K38" s="234">
        <f ca="1" t="shared" si="5"/>
        <v>1121.7378696559106</v>
      </c>
    </row>
  </sheetData>
  <sheetProtection/>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8"/>
  <dimension ref="A6:D40"/>
  <sheetViews>
    <sheetView zoomScalePageLayoutView="0" workbookViewId="0" topLeftCell="A1">
      <selection activeCell="A1" sqref="A1"/>
    </sheetView>
  </sheetViews>
  <sheetFormatPr defaultColWidth="9.140625" defaultRowHeight="12.75"/>
  <cols>
    <col min="2" max="2" width="28.421875" style="0" customWidth="1"/>
    <col min="3" max="3" width="13.140625" style="0" customWidth="1"/>
    <col min="4" max="4" width="25.140625" style="0" customWidth="1"/>
    <col min="5" max="5" width="27.28125" style="0" customWidth="1"/>
  </cols>
  <sheetData>
    <row r="6" ht="12.75">
      <c r="A6" t="s">
        <v>485</v>
      </c>
    </row>
    <row r="7" ht="12.75">
      <c r="A7" t="s">
        <v>482</v>
      </c>
    </row>
    <row r="8" ht="12.75">
      <c r="A8" t="s">
        <v>483</v>
      </c>
    </row>
    <row r="9" ht="12.75">
      <c r="A9" t="s">
        <v>484</v>
      </c>
    </row>
    <row r="10" ht="12.75">
      <c r="A10" t="s">
        <v>486</v>
      </c>
    </row>
    <row r="12" spans="1:4" ht="12.75">
      <c r="A12" t="s">
        <v>490</v>
      </c>
      <c r="D12" s="45" t="s">
        <v>99</v>
      </c>
    </row>
    <row r="15" ht="12.75">
      <c r="A15" s="1" t="s">
        <v>492</v>
      </c>
    </row>
    <row r="18" ht="12.75">
      <c r="A18" s="1" t="s">
        <v>487</v>
      </c>
    </row>
    <row r="19" spans="2:4" ht="12.75">
      <c r="B19" s="3" t="s">
        <v>488</v>
      </c>
      <c r="C19" s="3" t="s">
        <v>489</v>
      </c>
      <c r="D19" s="3" t="s">
        <v>151</v>
      </c>
    </row>
    <row r="20" spans="1:4" ht="12.75">
      <c r="A20">
        <v>1</v>
      </c>
      <c r="B20" s="45" t="s">
        <v>20</v>
      </c>
      <c r="C20" s="19" t="str">
        <f aca="true" t="shared" si="0" ref="C20:C28">IF(B20="","",IF(ISNA(VLOOKUP(B20,HTF_properties,1,FALSE)),"NO","YES"))</f>
        <v>YES</v>
      </c>
      <c r="D20" s="18" t="str">
        <f aca="true" t="shared" si="1" ref="D20:D28">IF(C20="YES",VLOOKUP(B20,FluidData,3,FALSE),"")</f>
        <v>City water</v>
      </c>
    </row>
    <row r="21" spans="1:4" ht="12.75">
      <c r="A21">
        <v>2</v>
      </c>
      <c r="B21" s="45" t="s">
        <v>99</v>
      </c>
      <c r="C21" s="19" t="str">
        <f t="shared" si="0"/>
        <v>YES</v>
      </c>
      <c r="D21" s="18" t="str">
        <f t="shared" si="1"/>
        <v>pure component</v>
      </c>
    </row>
    <row r="22" spans="1:4" ht="12.75">
      <c r="A22">
        <v>3</v>
      </c>
      <c r="B22" s="45"/>
      <c r="C22" s="19">
        <f t="shared" si="0"/>
      </c>
      <c r="D22" s="18">
        <f t="shared" si="1"/>
      </c>
    </row>
    <row r="23" spans="1:4" ht="12.75">
      <c r="A23">
        <v>4</v>
      </c>
      <c r="B23" s="45"/>
      <c r="C23" s="19">
        <f t="shared" si="0"/>
      </c>
      <c r="D23" s="18">
        <f t="shared" si="1"/>
      </c>
    </row>
    <row r="24" spans="1:4" ht="12.75">
      <c r="A24">
        <v>5</v>
      </c>
      <c r="B24" s="45"/>
      <c r="C24" s="19">
        <f t="shared" si="0"/>
      </c>
      <c r="D24" s="18">
        <f t="shared" si="1"/>
      </c>
    </row>
    <row r="25" spans="1:4" ht="12.75">
      <c r="A25">
        <v>6</v>
      </c>
      <c r="B25" s="45"/>
      <c r="C25" s="19">
        <f t="shared" si="0"/>
      </c>
      <c r="D25" s="18">
        <f t="shared" si="1"/>
      </c>
    </row>
    <row r="26" spans="1:4" ht="12.75">
      <c r="A26">
        <v>7</v>
      </c>
      <c r="B26" s="45"/>
      <c r="C26" s="19">
        <f t="shared" si="0"/>
      </c>
      <c r="D26" s="18">
        <f t="shared" si="1"/>
      </c>
    </row>
    <row r="27" spans="1:4" ht="12.75">
      <c r="A27">
        <v>8</v>
      </c>
      <c r="B27" s="45"/>
      <c r="C27" s="19">
        <f t="shared" si="0"/>
      </c>
      <c r="D27" s="18">
        <f t="shared" si="1"/>
      </c>
    </row>
    <row r="28" spans="1:4" ht="12.75">
      <c r="A28">
        <v>9</v>
      </c>
      <c r="B28" s="45"/>
      <c r="C28" s="19">
        <f t="shared" si="0"/>
      </c>
      <c r="D28" s="18">
        <f t="shared" si="1"/>
      </c>
    </row>
    <row r="30" ht="12.75">
      <c r="A30" s="1" t="s">
        <v>491</v>
      </c>
    </row>
    <row r="31" spans="2:4" ht="12.75">
      <c r="B31" s="3" t="s">
        <v>488</v>
      </c>
      <c r="C31" s="3" t="s">
        <v>489</v>
      </c>
      <c r="D31" s="3" t="s">
        <v>151</v>
      </c>
    </row>
    <row r="32" spans="1:4" ht="12.75">
      <c r="A32">
        <v>1</v>
      </c>
      <c r="B32" s="45" t="s">
        <v>20</v>
      </c>
      <c r="C32" s="19" t="str">
        <f aca="true" t="shared" si="2" ref="C32:C40">IF(B32="","",IF(ISNA(VLOOKUP(B32,HTF_properties,1,FALSE)),"NO","YES"))</f>
        <v>YES</v>
      </c>
      <c r="D32" s="18" t="str">
        <f aca="true" t="shared" si="3" ref="D32:D40">IF(C32="YES",VLOOKUP(B32,FluidData,3,FALSE),"")</f>
        <v>City water</v>
      </c>
    </row>
    <row r="33" spans="1:4" ht="12.75">
      <c r="A33">
        <v>2</v>
      </c>
      <c r="B33" s="45"/>
      <c r="C33" s="19">
        <f t="shared" si="2"/>
      </c>
      <c r="D33" s="18">
        <f t="shared" si="3"/>
      </c>
    </row>
    <row r="34" spans="1:4" ht="12.75">
      <c r="A34">
        <v>3</v>
      </c>
      <c r="B34" s="45"/>
      <c r="C34" s="19">
        <f t="shared" si="2"/>
      </c>
      <c r="D34" s="18">
        <f t="shared" si="3"/>
      </c>
    </row>
    <row r="35" spans="1:4" ht="12.75">
      <c r="A35">
        <v>4</v>
      </c>
      <c r="B35" s="45"/>
      <c r="C35" s="19">
        <f t="shared" si="2"/>
      </c>
      <c r="D35" s="18">
        <f t="shared" si="3"/>
      </c>
    </row>
    <row r="36" spans="1:4" ht="12.75">
      <c r="A36">
        <v>5</v>
      </c>
      <c r="B36" s="45"/>
      <c r="C36" s="19">
        <f t="shared" si="2"/>
      </c>
      <c r="D36" s="18">
        <f t="shared" si="3"/>
      </c>
    </row>
    <row r="37" spans="1:4" ht="12.75">
      <c r="A37">
        <v>6</v>
      </c>
      <c r="B37" s="45"/>
      <c r="C37" s="19">
        <f t="shared" si="2"/>
      </c>
      <c r="D37" s="18">
        <f t="shared" si="3"/>
      </c>
    </row>
    <row r="38" spans="1:4" ht="12.75">
      <c r="A38">
        <v>7</v>
      </c>
      <c r="B38" s="45"/>
      <c r="C38" s="19">
        <f t="shared" si="2"/>
      </c>
      <c r="D38" s="18">
        <f t="shared" si="3"/>
      </c>
    </row>
    <row r="39" spans="1:4" ht="12.75">
      <c r="A39">
        <v>8</v>
      </c>
      <c r="B39" s="45"/>
      <c r="C39" s="19">
        <f t="shared" si="2"/>
      </c>
      <c r="D39" s="18">
        <f t="shared" si="3"/>
      </c>
    </row>
    <row r="40" spans="1:4" ht="12.75">
      <c r="A40">
        <v>9</v>
      </c>
      <c r="B40" s="45"/>
      <c r="C40" s="19">
        <f t="shared" si="2"/>
      </c>
      <c r="D40" s="18">
        <f t="shared" si="3"/>
      </c>
    </row>
  </sheetData>
  <sheetProtection/>
  <conditionalFormatting sqref="C32:C40 C20:C28">
    <cfRule type="cellIs" priority="1" dxfId="6" operator="equal" stopIfTrue="1">
      <formula>"NO"</formula>
    </cfRule>
  </conditionalFormatting>
  <dataValidations count="1">
    <dataValidation type="list" allowBlank="1" showInputMessage="1" showErrorMessage="1" sqref="D12">
      <formula1>Fluids</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6:AE83"/>
  <sheetViews>
    <sheetView zoomScalePageLayoutView="0" workbookViewId="0" topLeftCell="A1">
      <selection activeCell="A1" sqref="A1"/>
    </sheetView>
  </sheetViews>
  <sheetFormatPr defaultColWidth="9.140625" defaultRowHeight="12.75"/>
  <cols>
    <col min="1" max="1" width="4.7109375" style="0" customWidth="1"/>
    <col min="2" max="2" width="20.140625" style="0" customWidth="1"/>
    <col min="3" max="3" width="12.28125" style="0" customWidth="1"/>
    <col min="4" max="4" width="12.421875" style="0" bestFit="1" customWidth="1"/>
    <col min="5" max="5" width="12.57421875" style="0" customWidth="1"/>
    <col min="7" max="7" width="11.8515625" style="0" customWidth="1"/>
    <col min="8" max="8" width="11.421875" style="0" bestFit="1" customWidth="1"/>
    <col min="9" max="10" width="9.421875" style="0" bestFit="1" customWidth="1"/>
    <col min="11" max="11" width="9.28125" style="0" bestFit="1" customWidth="1"/>
    <col min="12" max="12" width="10.421875" style="0" customWidth="1"/>
    <col min="13" max="13" width="9.421875" style="0" bestFit="1" customWidth="1"/>
    <col min="14" max="18" width="9.28125" style="0" bestFit="1" customWidth="1"/>
    <col min="19" max="19" width="12.140625" style="0" customWidth="1"/>
    <col min="20" max="20" width="9.28125" style="0" bestFit="1" customWidth="1"/>
    <col min="21" max="21" width="12.00390625" style="0" customWidth="1"/>
    <col min="22" max="22" width="9.28125" style="0" bestFit="1" customWidth="1"/>
  </cols>
  <sheetData>
    <row r="6" ht="12.75">
      <c r="A6" s="1" t="s">
        <v>1</v>
      </c>
    </row>
    <row r="7" ht="12.75">
      <c r="A7" s="44" t="s">
        <v>493</v>
      </c>
    </row>
    <row r="8" spans="1:9" ht="12.75">
      <c r="A8" s="1"/>
      <c r="B8" s="2" t="s">
        <v>529</v>
      </c>
      <c r="D8" s="45" t="s">
        <v>744</v>
      </c>
      <c r="E8" s="7"/>
      <c r="F8" s="7"/>
      <c r="G8" s="7"/>
      <c r="H8" s="7"/>
      <c r="I8" s="7"/>
    </row>
    <row r="9" spans="1:9" ht="12.75">
      <c r="A9" s="1"/>
      <c r="B9" s="2" t="s">
        <v>29</v>
      </c>
      <c r="C9" t="str">
        <f>INDEX(units_conv,15,units*2)</f>
        <v>lb/h</v>
      </c>
      <c r="D9" s="46">
        <v>396000.00000000006</v>
      </c>
      <c r="E9" s="7"/>
      <c r="F9" s="7"/>
      <c r="G9" s="7"/>
      <c r="H9" s="7"/>
      <c r="I9" s="7"/>
    </row>
    <row r="10" spans="1:17" ht="12.75">
      <c r="A10" s="1"/>
      <c r="B10" s="2" t="s">
        <v>96</v>
      </c>
      <c r="C10" t="str">
        <f>CHOOSE(units,"°F","°C")</f>
        <v>°F</v>
      </c>
      <c r="D10" s="46">
        <v>89.6</v>
      </c>
      <c r="E10" s="7"/>
      <c r="F10" s="7"/>
      <c r="G10" s="7"/>
      <c r="H10" s="7"/>
      <c r="I10" s="7"/>
      <c r="P10" t="s">
        <v>21</v>
      </c>
      <c r="Q10" s="8">
        <f>CHOOSE(units,(SS_Tin-32)/1.8,SS_Tin)</f>
        <v>31.999999999999996</v>
      </c>
    </row>
    <row r="11" spans="1:22" ht="12.75">
      <c r="A11" s="1"/>
      <c r="B11" s="2" t="s">
        <v>481</v>
      </c>
      <c r="C11" t="str">
        <f>CHOOSE(units,"°F","°C")</f>
        <v>°F</v>
      </c>
      <c r="D11" s="46">
        <v>77</v>
      </c>
      <c r="E11" s="7"/>
      <c r="F11" s="7"/>
      <c r="G11" s="7"/>
      <c r="H11" s="7"/>
      <c r="I11" s="7"/>
      <c r="P11" t="s">
        <v>21</v>
      </c>
      <c r="Q11" s="8">
        <f>CHOOSE(units,(SS_Tout-32)/1.8,SS_Tout)</f>
        <v>25</v>
      </c>
      <c r="R11" t="s">
        <v>497</v>
      </c>
      <c r="S11" s="183">
        <f>SS_Flow*(SS_Tout-SS_Tin)*(SS_CpIn+SS_CpOut)/2</f>
        <v>-5002748.415953172</v>
      </c>
      <c r="T11" t="str">
        <f>CHOOSE(units,"Btu/h","kJ/h")</f>
        <v>Btu/h</v>
      </c>
      <c r="U11" s="183">
        <f>CHOOSE(units,0.2931*S11,S11/3.6)</f>
        <v>-1466305.560715875</v>
      </c>
      <c r="V11" t="s">
        <v>498</v>
      </c>
    </row>
    <row r="12" spans="1:9" ht="12.75">
      <c r="A12" s="1"/>
      <c r="B12" s="2" t="s">
        <v>97</v>
      </c>
      <c r="C12" t="str">
        <f>INDEX(units_conv,14,units*2)</f>
        <v>psig</v>
      </c>
      <c r="D12" s="46">
        <v>29.00754</v>
      </c>
      <c r="E12" s="7"/>
      <c r="F12" s="7"/>
      <c r="G12" s="7"/>
      <c r="H12" s="7"/>
      <c r="I12" s="7"/>
    </row>
    <row r="13" spans="1:9" ht="13.5" thickBot="1">
      <c r="A13" s="1"/>
      <c r="B13" t="s">
        <v>94</v>
      </c>
      <c r="C13" t="str">
        <f>INDEX(units_conv,14,units*2)</f>
        <v>psig</v>
      </c>
      <c r="D13" s="46">
        <v>1.5</v>
      </c>
      <c r="E13" s="7"/>
      <c r="F13" s="7"/>
      <c r="G13" s="7"/>
      <c r="H13" s="7"/>
      <c r="I13" s="7"/>
    </row>
    <row r="14" spans="1:9" ht="12.75">
      <c r="A14" s="1"/>
      <c r="B14" t="s">
        <v>95</v>
      </c>
      <c r="C14" t="str">
        <f>INDEX(units_conv,8,units*2)</f>
        <v>ft²-h-°F/Btu</v>
      </c>
      <c r="D14" s="47">
        <v>0.000499687144</v>
      </c>
      <c r="E14" s="7"/>
      <c r="F14" s="7"/>
      <c r="G14" s="7"/>
      <c r="H14" s="210" t="s">
        <v>506</v>
      </c>
      <c r="I14" s="211"/>
    </row>
    <row r="15" spans="1:9" ht="13.5" thickBot="1">
      <c r="A15" s="1"/>
      <c r="D15" s="47"/>
      <c r="E15" s="7"/>
      <c r="F15" s="7"/>
      <c r="G15" s="7"/>
      <c r="H15" s="212">
        <f>CHOOSE(units,ABS(S11),ABS(U11))</f>
        <v>5002748.415953172</v>
      </c>
      <c r="I15" s="213" t="str">
        <f>CHOOSE(units,"Btu/h","W")</f>
        <v>Btu/h</v>
      </c>
    </row>
    <row r="16" spans="1:9" ht="12.75">
      <c r="A16" s="44" t="s">
        <v>494</v>
      </c>
      <c r="B16" s="2"/>
      <c r="E16" s="7"/>
      <c r="F16" s="7"/>
      <c r="G16" s="7"/>
      <c r="H16" s="7">
        <f>IF(SS_Tout&lt;TS_Tout,"Warning: Temperature Cross","")</f>
      </c>
      <c r="I16" s="7"/>
    </row>
    <row r="17" spans="1:9" ht="12.75">
      <c r="A17" s="44"/>
      <c r="B17" s="2" t="s">
        <v>529</v>
      </c>
      <c r="D17" s="45" t="s">
        <v>745</v>
      </c>
      <c r="E17" s="7"/>
      <c r="F17" s="7"/>
      <c r="G17" s="214"/>
      <c r="H17" s="7"/>
      <c r="I17" s="214"/>
    </row>
    <row r="18" spans="1:9" ht="12.75">
      <c r="A18" s="44"/>
      <c r="B18" s="2" t="s">
        <v>29</v>
      </c>
      <c r="C18" t="str">
        <f>INDEX(units_conv,15,units*2)</f>
        <v>lb/h</v>
      </c>
      <c r="D18" s="46">
        <v>1188000</v>
      </c>
      <c r="E18" s="7"/>
      <c r="F18" s="7"/>
      <c r="G18" s="7"/>
      <c r="H18" s="7"/>
      <c r="I18" s="7"/>
    </row>
    <row r="19" spans="1:17" ht="12.75">
      <c r="A19" s="44"/>
      <c r="B19" s="2" t="s">
        <v>96</v>
      </c>
      <c r="C19" t="str">
        <f>CHOOSE(units,"°F","°C")</f>
        <v>°F</v>
      </c>
      <c r="D19" s="46">
        <v>68</v>
      </c>
      <c r="E19" s="7"/>
      <c r="F19" s="7"/>
      <c r="G19" s="7"/>
      <c r="H19" s="7"/>
      <c r="I19" s="7"/>
      <c r="P19" t="s">
        <v>21</v>
      </c>
      <c r="Q19" s="8">
        <f>CHOOSE(units,(TS_Tin-32)/1.8,TS_Tin)</f>
        <v>20</v>
      </c>
    </row>
    <row r="20" spans="1:22" ht="12.75">
      <c r="A20" s="44"/>
      <c r="B20" s="2" t="s">
        <v>481</v>
      </c>
      <c r="C20" t="str">
        <f>CHOOSE(units,"°F","°C")</f>
        <v>°F</v>
      </c>
      <c r="D20" s="46">
        <v>72.20124928377984</v>
      </c>
      <c r="E20" s="7"/>
      <c r="F20" s="7"/>
      <c r="G20" s="7"/>
      <c r="H20" s="7"/>
      <c r="I20" s="7"/>
      <c r="L20" s="8"/>
      <c r="P20" t="s">
        <v>21</v>
      </c>
      <c r="Q20" s="8">
        <f>CHOOSE(units,(TS_Tout-32)/1.8,TS_Tout)</f>
        <v>22.334027379877693</v>
      </c>
      <c r="R20" t="s">
        <v>497</v>
      </c>
      <c r="S20" s="183">
        <f>TS_Flow*(TS_Tout-TS_Tin)*(TS_CpIn+TS_CpOut)/2</f>
        <v>5002748.415952985</v>
      </c>
      <c r="T20" t="str">
        <f>CHOOSE(units,"Btu/h","kJ/h")</f>
        <v>Btu/h</v>
      </c>
      <c r="U20" s="183">
        <f>CHOOSE(units,0.2931*S20,S20/3.6)</f>
        <v>1466305.5607158202</v>
      </c>
      <c r="V20" t="s">
        <v>498</v>
      </c>
    </row>
    <row r="21" spans="1:9" ht="12.75">
      <c r="A21" s="44"/>
      <c r="B21" s="2" t="s">
        <v>97</v>
      </c>
      <c r="C21" t="str">
        <f>INDEX(units_conv,14,units*2)</f>
        <v>psig</v>
      </c>
      <c r="D21" s="46">
        <v>60</v>
      </c>
      <c r="E21" s="7"/>
      <c r="F21" s="7"/>
      <c r="G21" s="7"/>
      <c r="H21" s="7"/>
      <c r="I21" s="7"/>
    </row>
    <row r="22" spans="1:19" ht="12.75">
      <c r="A22" s="44"/>
      <c r="B22" t="s">
        <v>94</v>
      </c>
      <c r="C22" t="str">
        <f>INDEX(units_conv,14,units*2)</f>
        <v>psig</v>
      </c>
      <c r="D22" s="46">
        <v>10</v>
      </c>
      <c r="E22" s="7"/>
      <c r="F22" s="7"/>
      <c r="G22" s="7"/>
      <c r="H22" s="7"/>
      <c r="I22" s="7"/>
      <c r="S22" s="184">
        <f>S11+S20</f>
        <v>-1.8719583749771118E-07</v>
      </c>
    </row>
    <row r="23" spans="2:9" ht="12.75">
      <c r="B23" t="s">
        <v>95</v>
      </c>
      <c r="C23" t="str">
        <f>INDEX(units_conv,8,units*2)</f>
        <v>ft²-h-°F/Btu</v>
      </c>
      <c r="D23" s="47">
        <v>0.000499687144</v>
      </c>
      <c r="E23" s="7"/>
      <c r="F23" s="7"/>
      <c r="G23" s="7"/>
      <c r="H23" s="7"/>
      <c r="I23" s="7"/>
    </row>
    <row r="24" spans="1:4" ht="12.75">
      <c r="A24" s="1"/>
      <c r="D24" s="47"/>
    </row>
    <row r="25" spans="1:28" ht="12.75">
      <c r="A25" s="1"/>
      <c r="B25" s="2"/>
      <c r="D25" s="45"/>
      <c r="G25" t="s">
        <v>478</v>
      </c>
      <c r="M25" t="s">
        <v>478</v>
      </c>
      <c r="AB25" t="s">
        <v>585</v>
      </c>
    </row>
    <row r="26" spans="1:30" ht="12.75">
      <c r="A26" s="1"/>
      <c r="B26" s="2"/>
      <c r="D26" s="45"/>
      <c r="E26" s="19" t="s">
        <v>105</v>
      </c>
      <c r="G26" s="19" t="s">
        <v>0</v>
      </c>
      <c r="H26" t="s">
        <v>3</v>
      </c>
      <c r="J26" s="19" t="s">
        <v>475</v>
      </c>
      <c r="K26" s="19" t="s">
        <v>476</v>
      </c>
      <c r="L26" s="19" t="s">
        <v>477</v>
      </c>
      <c r="M26" s="19" t="s">
        <v>0</v>
      </c>
      <c r="N26" t="s">
        <v>3</v>
      </c>
      <c r="P26" s="19" t="s">
        <v>475</v>
      </c>
      <c r="Q26" s="19" t="s">
        <v>476</v>
      </c>
      <c r="R26" s="43" t="s">
        <v>98</v>
      </c>
      <c r="S26" s="43"/>
      <c r="T26" s="43"/>
      <c r="U26" s="19" t="s">
        <v>102</v>
      </c>
      <c r="V26" s="19" t="s">
        <v>102</v>
      </c>
      <c r="W26" s="19" t="s">
        <v>507</v>
      </c>
      <c r="Y26" t="s">
        <v>479</v>
      </c>
      <c r="AB26" t="s">
        <v>586</v>
      </c>
      <c r="AD26" t="s">
        <v>587</v>
      </c>
    </row>
    <row r="27" spans="1:31" ht="12.75">
      <c r="A27" s="1"/>
      <c r="B27" s="174" t="s">
        <v>495</v>
      </c>
      <c r="C27" s="3"/>
      <c r="D27" s="3"/>
      <c r="E27" s="4" t="s">
        <v>106</v>
      </c>
      <c r="F27" s="3" t="s">
        <v>471</v>
      </c>
      <c r="G27" s="4" t="str">
        <f>INDEX(units_conv,18,units*2)</f>
        <v>lb/ft3</v>
      </c>
      <c r="H27" s="175" t="s">
        <v>4</v>
      </c>
      <c r="I27" s="4" t="s">
        <v>107</v>
      </c>
      <c r="J27" s="4" t="str">
        <f>INDEX(units_conv,10,units*2)</f>
        <v>Btu/lb-°F</v>
      </c>
      <c r="K27" s="4" t="str">
        <f>INDEX(units_conv,5,units*2)</f>
        <v>Btu/h-ft-°F</v>
      </c>
      <c r="L27" s="4" t="str">
        <f>INDEX(units_conv,16,units*2)</f>
        <v>Btu/lb</v>
      </c>
      <c r="M27" s="4" t="str">
        <f>INDEX(units_conv,18,units*2)</f>
        <v>lb/ft3</v>
      </c>
      <c r="N27" s="175" t="s">
        <v>4</v>
      </c>
      <c r="O27" s="4" t="s">
        <v>107</v>
      </c>
      <c r="P27" s="4" t="str">
        <f>INDEX(units_conv,10,units*2)</f>
        <v>Btu/lb-°F</v>
      </c>
      <c r="Q27" s="4" t="str">
        <f>INDEX(units_conv,5,units*2)</f>
        <v>Btu/h-ft-°F</v>
      </c>
      <c r="R27" s="4" t="s">
        <v>18</v>
      </c>
      <c r="S27" s="4" t="s">
        <v>19</v>
      </c>
      <c r="T27" s="4" t="s">
        <v>5</v>
      </c>
      <c r="U27" s="4" t="s">
        <v>103</v>
      </c>
      <c r="V27" s="4" t="str">
        <f>INDEX(units_conv,14,units*2)</f>
        <v>psig</v>
      </c>
      <c r="W27" s="4" t="str">
        <f>INDEX(units_conv,14,units*2)</f>
        <v>psig</v>
      </c>
      <c r="Y27" s="175" t="s">
        <v>480</v>
      </c>
      <c r="AB27" s="4" t="s">
        <v>4</v>
      </c>
      <c r="AC27" s="4" t="s">
        <v>588</v>
      </c>
      <c r="AD27" s="4" t="s">
        <v>4</v>
      </c>
      <c r="AE27" s="4" t="s">
        <v>588</v>
      </c>
    </row>
    <row r="28" spans="1:31" ht="12.75">
      <c r="A28" s="2">
        <v>1</v>
      </c>
      <c r="B28" s="9" t="str">
        <f aca="true" ca="1" t="shared" si="0" ref="B28:B36">IF(OFFSET(HotComp,A28,0)=0,"",OFFSET(HotComp,A28,0))</f>
        <v>Water</v>
      </c>
      <c r="E28" s="45">
        <v>1</v>
      </c>
      <c r="G28" s="18">
        <f>IF($B28&lt;&gt;"",$E28*CHOOSE(units,(VLOOKUP($B28,FluidData,13,FALSE)*SS_TinC+VLOOKUP($B28,FluidData,14,FALSE))/INDEX(units_conv,18,3),VLOOKUP($B28,FluidData,13,FALSE)*SS_TinC+VLOOKUP($B28,FluidData,14,FALSE)),"")</f>
        <v>61.90914634416702</v>
      </c>
      <c r="H28">
        <f aca="true" t="shared" si="1" ref="H28:H36">IF($B28&lt;&gt;"",EXP(VLOOKUP($B28,FluidData,10,FALSE)+VLOOKUP($B28,FluidData,11,FALSE)/(VLOOKUP($B28,FluidData,12,FALSE)+273.15+SS_TinC)),"")</f>
        <v>0.7740943942823886</v>
      </c>
      <c r="I28" s="18">
        <f aca="true" t="shared" si="2" ref="I28:I36">IF($B28&lt;&gt;"",VLOOKUP($B28,FluidData,22,FALSE),"")</f>
        <v>18.02</v>
      </c>
      <c r="J28" s="18">
        <f>IF($B28&lt;&gt;"",$E28*CHOOSE(units,(VLOOKUP($B28,FluidData,17,FALSE)*SS_TinC+VLOOKUP($B28,FluidData,18,FALSE))/INDEX(units_conv,10,3),VLOOKUP($B28,FluidData,17,FALSE)*SS_TinC+VLOOKUP($B28,FluidData,18,FALSE)),"")</f>
        <v>1.0027774669052627</v>
      </c>
      <c r="K28" s="18">
        <f>IF($B28&lt;&gt;"",$E28*CHOOSE(units,(VLOOKUP($B28,FluidData,15,FALSE)*SS_TinC+VLOOKUP($B28,FluidData,16,FALSE))/INDEX(units_conv,5,3),VLOOKUP($B28,FluidData,15,FALSE)*SS_TinC+VLOOKUP($B28,FluidData,16,FALSE)),"")</f>
        <v>0.35043440504497053</v>
      </c>
      <c r="L28" s="18">
        <f aca="true" t="shared" si="3" ref="L28:L36">IF($B28&lt;&gt;"",CHOOSE(units,VLOOKUP($B28,FluidData,23,FALSE)/INDEX(units_conv,16,3),VLOOKUP($B28,FluidData,23,FALSE)),"")</f>
        <v>971.6251074806535</v>
      </c>
      <c r="M28" s="18">
        <f aca="true" t="shared" si="4" ref="M28:M36">IF($B28&lt;&gt;"",$E28*CHOOSE(units,(VLOOKUP($B28,FluidData,13,FALSE)*SS_ToutC+VLOOKUP($B28,FluidData,14,FALSE))/INDEX(units_conv,18,3),VLOOKUP($B28,FluidData,13,FALSE)*SS_ToutC+VLOOKUP($B28,FluidData,14,FALSE)),"")</f>
        <v>62.10930902272805</v>
      </c>
      <c r="N28">
        <f aca="true" t="shared" si="5" ref="N28:N36">IF($B28&lt;&gt;"",EXP(VLOOKUP($B28,FluidData,10,FALSE)+VLOOKUP($B28,FluidData,11,FALSE)/(VLOOKUP($B28,FluidData,12,FALSE)+273.15+SS_ToutC)),"")</f>
        <v>0.9024967404929959</v>
      </c>
      <c r="O28" s="18">
        <f aca="true" t="shared" si="6" ref="O28:O36">IF($B28&lt;&gt;"",VLOOKUP($B28,FluidData,22,FALSE),"")</f>
        <v>18.02</v>
      </c>
      <c r="P28" s="18">
        <f aca="true" t="shared" si="7" ref="P28:P36">IF($B28&lt;&gt;"",$E28*CHOOSE(units,(VLOOKUP($B28,FluidData,17,FALSE)*SS_ToutC+VLOOKUP($B28,FluidData,18,FALSE))/INDEX(units_conv,10,3),VLOOKUP($B28,FluidData,17,FALSE)*SS_ToutC+VLOOKUP($B28,FluidData,18,FALSE)),"")</f>
        <v>1.0024928617596298</v>
      </c>
      <c r="Q28" s="18">
        <f aca="true" t="shared" si="8" ref="Q28:Q36">IF($B28&lt;&gt;"",$E28*CHOOSE(units,(VLOOKUP($B28,FluidData,15,FALSE)*SS_ToutC+VLOOKUP($B28,FluidData,16,FALSE))/INDEX(units_conv,5,3),VLOOKUP($B28,FluidData,15,FALSE)*SS_ToutC+VLOOKUP($B28,FluidData,16,FALSE)),"")</f>
        <v>0.34568138116406494</v>
      </c>
      <c r="R28" s="18">
        <f>IF($B28&lt;&gt;"",VLOOKUP($B28,FluidData,7,FALSE),"")</f>
        <v>8.02764441666169</v>
      </c>
      <c r="S28" s="18">
        <f>IF($B28&lt;&gt;"",VLOOKUP($B28,FluidData,8,FALSE),"")</f>
        <v>1706.134187728992</v>
      </c>
      <c r="T28" s="18">
        <f aca="true" t="shared" si="9" ref="T28:T36">IF(B28&lt;&gt;"",VLOOKUP($B28,FluidData,9,FALSE),"")</f>
        <v>231.4921834319703</v>
      </c>
      <c r="U28" s="5">
        <f aca="true" t="shared" si="10" ref="U28:U36">IF(OR(S28="",B28=""),"",CHOOSE(units,10^(R28-S28/(SS_TinC+T28)),10^(R28-S28/(SS_Tin+T28))))</f>
        <v>35.69108775673104</v>
      </c>
      <c r="V28" s="8">
        <f aca="true" t="shared" si="11" ref="V28:V36">IF(OR(U28="",B28=""),"",CHOOSE(units,U28*0.01933677-14.696,U28*0.1333224-101.3))</f>
        <v>-14.005849644998277</v>
      </c>
      <c r="W28" s="8"/>
      <c r="X28">
        <f>IF($B28="","",E28)</f>
        <v>1</v>
      </c>
      <c r="Y28">
        <f>IF($B28&lt;&gt;"",$E28*LN(H28),"")</f>
        <v>-0.2560614563912971</v>
      </c>
      <c r="Z28">
        <f>IF($B28&lt;&gt;"",$E28*LN(N28),"")</f>
        <v>-0.10259020042373289</v>
      </c>
      <c r="AB28">
        <f aca="true" t="shared" si="12" ref="AB28:AB36">IF($B28&lt;&gt;"",EXP(VLOOKUP($B28,FluidData,10,FALSE)+VLOOKUP($B28,FluidData,11,FALSE)/(VLOOKUP($B28,FluidData,12,FALSE)+273.15+SS_WallTemp)),"")</f>
        <v>0.9434695161086011</v>
      </c>
      <c r="AC28">
        <f>IF($B28&lt;&gt;"",$E28*LN(AB28),"")</f>
        <v>-0.058191224066343174</v>
      </c>
      <c r="AD28">
        <f aca="true" t="shared" si="13" ref="AD28:AD36">IF($B28&lt;&gt;"",EXP(VLOOKUP($B28,FluidData,10,FALSE)+VLOOKUP($B28,FluidData,11,FALSE)/(VLOOKUP($B28,FluidData,12,FALSE)+273.15+TS_WallTemp)),"")</f>
        <v>0.9264498888895999</v>
      </c>
      <c r="AE28">
        <f>IF($B28&lt;&gt;"",$E28*LN(AD28),"")</f>
        <v>-0.07639532118507164</v>
      </c>
    </row>
    <row r="29" spans="1:31" ht="12.75">
      <c r="A29" s="2">
        <v>2</v>
      </c>
      <c r="B29" s="9" t="str">
        <f ca="1" t="shared" si="0"/>
        <v>Methyl Alcohol</v>
      </c>
      <c r="E29" s="45">
        <v>0</v>
      </c>
      <c r="G29" s="18">
        <f aca="true" t="shared" si="14" ref="G29:G36">IF($B29&lt;&gt;"",E29*CHOOSE(units,(VLOOKUP($B29,FluidData,13,FALSE)*SS_TinC+VLOOKUP($B29,FluidData,14,FALSE))/INDEX(units_conv,18,3),VLOOKUP($B29,FluidData,13,FALSE)*SS_TinC+VLOOKUP($B29,FluidData,14,FALSE)),"")</f>
        <v>0</v>
      </c>
      <c r="H29">
        <f t="shared" si="1"/>
        <v>0.5158644058103483</v>
      </c>
      <c r="I29" s="18">
        <f t="shared" si="2"/>
        <v>32.04</v>
      </c>
      <c r="J29" s="18">
        <f aca="true" t="shared" si="15" ref="J29:J36">IF($B29&lt;&gt;"",E29*CHOOSE(units,(VLOOKUP($B29,FluidData,17,FALSE)*SS_TinC+VLOOKUP($B29,FluidData,18,FALSE))/INDEX(units_conv,10,3),VLOOKUP($B29,FluidData,17,FALSE)*SS_TinC+VLOOKUP($B29,FluidData,18,FALSE)),"")</f>
        <v>0</v>
      </c>
      <c r="K29" s="18">
        <f aca="true" t="shared" si="16" ref="K29:K36">IF($B29&lt;&gt;"",E29*CHOOSE(units,(VLOOKUP($B29,FluidData,15,FALSE)*SS_TinC+VLOOKUP($B29,FluidData,16,FALSE))/INDEX(units_conv,5,3),VLOOKUP($B29,FluidData,15,FALSE)*SS_TinC+VLOOKUP($B29,FluidData,16,FALSE)),"")</f>
        <v>0</v>
      </c>
      <c r="L29" s="18">
        <f t="shared" si="3"/>
        <v>472.91487532244196</v>
      </c>
      <c r="M29" s="18">
        <f t="shared" si="4"/>
        <v>0</v>
      </c>
      <c r="N29">
        <f t="shared" si="5"/>
        <v>0.5623992291625307</v>
      </c>
      <c r="O29" s="18">
        <f t="shared" si="6"/>
        <v>32.04</v>
      </c>
      <c r="P29" s="18">
        <f t="shared" si="7"/>
        <v>0</v>
      </c>
      <c r="Q29" s="18">
        <f t="shared" si="8"/>
        <v>0</v>
      </c>
      <c r="R29" s="18">
        <f aca="true" t="shared" si="17" ref="R29:R36">IF(B29&lt;&gt;"",VLOOKUP($B29,FluidData,7,FALSE),"")</f>
        <v>7.9749040345535835</v>
      </c>
      <c r="S29" s="18">
        <f aca="true" t="shared" si="18" ref="S29:S36">IF(B29&lt;&gt;"",VLOOKUP($B29,FluidData,8,FALSE),"")</f>
        <v>1515.2929883384677</v>
      </c>
      <c r="T29" s="18">
        <f t="shared" si="9"/>
        <v>232.9925144622153</v>
      </c>
      <c r="U29" s="5">
        <f t="shared" si="10"/>
        <v>180.57422556450823</v>
      </c>
      <c r="V29" s="8">
        <f t="shared" si="11"/>
        <v>-11.204277732330985</v>
      </c>
      <c r="W29" s="8"/>
      <c r="X29">
        <f aca="true" t="shared" si="19" ref="X29:X36">IF($B29="","",E29)</f>
        <v>0</v>
      </c>
      <c r="Y29">
        <f aca="true" t="shared" si="20" ref="Y29:Y36">IF($B29&lt;&gt;"",$E29*LN(H29),"")</f>
        <v>0</v>
      </c>
      <c r="Z29">
        <f aca="true" t="shared" si="21" ref="Z29:Z36">IF($B29&lt;&gt;"",$E29*LN(N29),"")</f>
        <v>0</v>
      </c>
      <c r="AB29">
        <f t="shared" si="12"/>
        <v>0.57632091852491</v>
      </c>
      <c r="AC29">
        <f aca="true" t="shared" si="22" ref="AC29:AC36">IF($B29&lt;&gt;"",$E29*LN(AB29),"")</f>
        <v>0</v>
      </c>
      <c r="AD29">
        <f t="shared" si="13"/>
        <v>0.5705878595698608</v>
      </c>
      <c r="AE29">
        <f aca="true" t="shared" si="23" ref="AE29:AE36">IF($B29&lt;&gt;"",$E29*LN(AD29),"")</f>
        <v>0</v>
      </c>
    </row>
    <row r="30" spans="1:31" ht="12.75">
      <c r="A30" s="2">
        <v>3</v>
      </c>
      <c r="B30" s="9">
        <f ca="1" t="shared" si="0"/>
      </c>
      <c r="E30" s="45"/>
      <c r="G30" s="18">
        <f t="shared" si="14"/>
      </c>
      <c r="H30">
        <f t="shared" si="1"/>
      </c>
      <c r="I30" s="18">
        <f t="shared" si="2"/>
      </c>
      <c r="J30" s="18">
        <f t="shared" si="15"/>
      </c>
      <c r="K30" s="18">
        <f t="shared" si="16"/>
      </c>
      <c r="L30" s="18">
        <f t="shared" si="3"/>
      </c>
      <c r="M30" s="18">
        <f t="shared" si="4"/>
      </c>
      <c r="N30">
        <f t="shared" si="5"/>
      </c>
      <c r="O30" s="18">
        <f t="shared" si="6"/>
      </c>
      <c r="P30" s="18">
        <f t="shared" si="7"/>
      </c>
      <c r="Q30" s="18">
        <f t="shared" si="8"/>
      </c>
      <c r="R30" s="18">
        <f t="shared" si="17"/>
      </c>
      <c r="S30" s="18">
        <f t="shared" si="18"/>
      </c>
      <c r="T30" s="18">
        <f t="shared" si="9"/>
      </c>
      <c r="U30" s="5">
        <f t="shared" si="10"/>
      </c>
      <c r="V30" s="8">
        <f t="shared" si="11"/>
      </c>
      <c r="W30" s="8"/>
      <c r="X30">
        <f t="shared" si="19"/>
      </c>
      <c r="Y30">
        <f t="shared" si="20"/>
      </c>
      <c r="Z30">
        <f t="shared" si="21"/>
      </c>
      <c r="AB30">
        <f t="shared" si="12"/>
      </c>
      <c r="AC30">
        <f t="shared" si="22"/>
      </c>
      <c r="AD30">
        <f t="shared" si="13"/>
      </c>
      <c r="AE30">
        <f t="shared" si="23"/>
      </c>
    </row>
    <row r="31" spans="1:31" ht="12.75">
      <c r="A31" s="2">
        <v>4</v>
      </c>
      <c r="B31" s="9">
        <f ca="1" t="shared" si="0"/>
      </c>
      <c r="E31" s="45"/>
      <c r="G31" s="18">
        <f t="shared" si="14"/>
      </c>
      <c r="H31">
        <f t="shared" si="1"/>
      </c>
      <c r="I31" s="18">
        <f t="shared" si="2"/>
      </c>
      <c r="J31" s="18">
        <f t="shared" si="15"/>
      </c>
      <c r="K31" s="18">
        <f t="shared" si="16"/>
      </c>
      <c r="L31" s="18">
        <f t="shared" si="3"/>
      </c>
      <c r="M31" s="18">
        <f t="shared" si="4"/>
      </c>
      <c r="N31">
        <f t="shared" si="5"/>
      </c>
      <c r="O31" s="18">
        <f t="shared" si="6"/>
      </c>
      <c r="P31" s="18">
        <f t="shared" si="7"/>
      </c>
      <c r="Q31" s="18">
        <f t="shared" si="8"/>
      </c>
      <c r="R31" s="18">
        <f t="shared" si="17"/>
      </c>
      <c r="S31" s="18">
        <f t="shared" si="18"/>
      </c>
      <c r="T31" s="18">
        <f t="shared" si="9"/>
      </c>
      <c r="U31" s="5">
        <f t="shared" si="10"/>
      </c>
      <c r="V31" s="8">
        <f t="shared" si="11"/>
      </c>
      <c r="W31" s="8"/>
      <c r="X31">
        <f t="shared" si="19"/>
      </c>
      <c r="Y31">
        <f t="shared" si="20"/>
      </c>
      <c r="Z31">
        <f t="shared" si="21"/>
      </c>
      <c r="AB31">
        <f t="shared" si="12"/>
      </c>
      <c r="AC31">
        <f t="shared" si="22"/>
      </c>
      <c r="AD31">
        <f t="shared" si="13"/>
      </c>
      <c r="AE31">
        <f t="shared" si="23"/>
      </c>
    </row>
    <row r="32" spans="1:31" ht="12.75">
      <c r="A32" s="2">
        <v>5</v>
      </c>
      <c r="B32" s="9">
        <f ca="1" t="shared" si="0"/>
      </c>
      <c r="E32" s="45"/>
      <c r="G32" s="18">
        <f t="shared" si="14"/>
      </c>
      <c r="H32">
        <f t="shared" si="1"/>
      </c>
      <c r="I32" s="18">
        <f t="shared" si="2"/>
      </c>
      <c r="J32" s="18">
        <f t="shared" si="15"/>
      </c>
      <c r="K32" s="18">
        <f t="shared" si="16"/>
      </c>
      <c r="L32" s="18">
        <f t="shared" si="3"/>
      </c>
      <c r="M32" s="18">
        <f t="shared" si="4"/>
      </c>
      <c r="N32">
        <f t="shared" si="5"/>
      </c>
      <c r="O32" s="18">
        <f t="shared" si="6"/>
      </c>
      <c r="P32" s="18">
        <f t="shared" si="7"/>
      </c>
      <c r="Q32" s="18">
        <f t="shared" si="8"/>
      </c>
      <c r="R32" s="18">
        <f t="shared" si="17"/>
      </c>
      <c r="S32" s="18">
        <f t="shared" si="18"/>
      </c>
      <c r="T32" s="18">
        <f t="shared" si="9"/>
      </c>
      <c r="U32" s="5">
        <f t="shared" si="10"/>
      </c>
      <c r="V32" s="8">
        <f t="shared" si="11"/>
      </c>
      <c r="W32" s="8"/>
      <c r="X32">
        <f t="shared" si="19"/>
      </c>
      <c r="Y32">
        <f t="shared" si="20"/>
      </c>
      <c r="Z32">
        <f t="shared" si="21"/>
      </c>
      <c r="AB32">
        <f t="shared" si="12"/>
      </c>
      <c r="AC32">
        <f t="shared" si="22"/>
      </c>
      <c r="AD32">
        <f t="shared" si="13"/>
      </c>
      <c r="AE32">
        <f t="shared" si="23"/>
      </c>
    </row>
    <row r="33" spans="1:31" ht="12.75">
      <c r="A33" s="2">
        <v>6</v>
      </c>
      <c r="B33" s="9">
        <f ca="1" t="shared" si="0"/>
      </c>
      <c r="E33" s="45"/>
      <c r="G33" s="18">
        <f t="shared" si="14"/>
      </c>
      <c r="H33">
        <f t="shared" si="1"/>
      </c>
      <c r="I33" s="18">
        <f t="shared" si="2"/>
      </c>
      <c r="J33" s="18">
        <f t="shared" si="15"/>
      </c>
      <c r="K33" s="18">
        <f t="shared" si="16"/>
      </c>
      <c r="L33" s="18">
        <f t="shared" si="3"/>
      </c>
      <c r="M33" s="18">
        <f t="shared" si="4"/>
      </c>
      <c r="N33">
        <f t="shared" si="5"/>
      </c>
      <c r="O33" s="18">
        <f t="shared" si="6"/>
      </c>
      <c r="P33" s="18">
        <f t="shared" si="7"/>
      </c>
      <c r="Q33" s="18">
        <f t="shared" si="8"/>
      </c>
      <c r="R33" s="18">
        <f t="shared" si="17"/>
      </c>
      <c r="S33" s="18">
        <f t="shared" si="18"/>
      </c>
      <c r="T33" s="18">
        <f t="shared" si="9"/>
      </c>
      <c r="U33" s="5">
        <f t="shared" si="10"/>
      </c>
      <c r="V33" s="8">
        <f t="shared" si="11"/>
      </c>
      <c r="W33" s="8"/>
      <c r="X33">
        <f t="shared" si="19"/>
      </c>
      <c r="Y33">
        <f t="shared" si="20"/>
      </c>
      <c r="Z33">
        <f t="shared" si="21"/>
      </c>
      <c r="AB33">
        <f t="shared" si="12"/>
      </c>
      <c r="AC33">
        <f t="shared" si="22"/>
      </c>
      <c r="AD33">
        <f t="shared" si="13"/>
      </c>
      <c r="AE33">
        <f t="shared" si="23"/>
      </c>
    </row>
    <row r="34" spans="1:31" ht="12.75">
      <c r="A34" s="2">
        <v>7</v>
      </c>
      <c r="B34" s="9">
        <f ca="1" t="shared" si="0"/>
      </c>
      <c r="E34" s="45"/>
      <c r="G34" s="18">
        <f t="shared" si="14"/>
      </c>
      <c r="H34">
        <f t="shared" si="1"/>
      </c>
      <c r="I34" s="18">
        <f t="shared" si="2"/>
      </c>
      <c r="J34" s="18">
        <f t="shared" si="15"/>
      </c>
      <c r="K34" s="18">
        <f t="shared" si="16"/>
      </c>
      <c r="L34" s="18">
        <f t="shared" si="3"/>
      </c>
      <c r="M34" s="18">
        <f t="shared" si="4"/>
      </c>
      <c r="N34">
        <f t="shared" si="5"/>
      </c>
      <c r="O34" s="18">
        <f t="shared" si="6"/>
      </c>
      <c r="P34" s="18">
        <f t="shared" si="7"/>
      </c>
      <c r="Q34" s="18">
        <f t="shared" si="8"/>
      </c>
      <c r="R34" s="18">
        <f t="shared" si="17"/>
      </c>
      <c r="S34" s="18">
        <f t="shared" si="18"/>
      </c>
      <c r="T34" s="18">
        <f t="shared" si="9"/>
      </c>
      <c r="U34" s="5">
        <f t="shared" si="10"/>
      </c>
      <c r="V34" s="8">
        <f t="shared" si="11"/>
      </c>
      <c r="W34" s="8"/>
      <c r="X34">
        <f t="shared" si="19"/>
      </c>
      <c r="Y34">
        <f t="shared" si="20"/>
      </c>
      <c r="Z34">
        <f t="shared" si="21"/>
      </c>
      <c r="AB34">
        <f t="shared" si="12"/>
      </c>
      <c r="AC34">
        <f t="shared" si="22"/>
      </c>
      <c r="AD34">
        <f t="shared" si="13"/>
      </c>
      <c r="AE34">
        <f t="shared" si="23"/>
      </c>
    </row>
    <row r="35" spans="1:31" ht="12.75">
      <c r="A35" s="2">
        <v>8</v>
      </c>
      <c r="B35" s="9">
        <f ca="1" t="shared" si="0"/>
      </c>
      <c r="E35" s="45"/>
      <c r="G35" s="18">
        <f t="shared" si="14"/>
      </c>
      <c r="H35">
        <f t="shared" si="1"/>
      </c>
      <c r="I35" s="18">
        <f t="shared" si="2"/>
      </c>
      <c r="J35" s="18">
        <f t="shared" si="15"/>
      </c>
      <c r="K35" s="18">
        <f t="shared" si="16"/>
      </c>
      <c r="L35" s="18">
        <f t="shared" si="3"/>
      </c>
      <c r="M35" s="18">
        <f t="shared" si="4"/>
      </c>
      <c r="N35">
        <f t="shared" si="5"/>
      </c>
      <c r="O35" s="18">
        <f t="shared" si="6"/>
      </c>
      <c r="P35" s="18">
        <f t="shared" si="7"/>
      </c>
      <c r="Q35" s="18">
        <f t="shared" si="8"/>
      </c>
      <c r="R35" s="18">
        <f t="shared" si="17"/>
      </c>
      <c r="S35" s="18">
        <f t="shared" si="18"/>
      </c>
      <c r="T35" s="18">
        <f t="shared" si="9"/>
      </c>
      <c r="U35" s="5">
        <f t="shared" si="10"/>
      </c>
      <c r="V35" s="8">
        <f t="shared" si="11"/>
      </c>
      <c r="W35" s="8"/>
      <c r="X35">
        <f t="shared" si="19"/>
      </c>
      <c r="Y35">
        <f t="shared" si="20"/>
      </c>
      <c r="Z35">
        <f t="shared" si="21"/>
      </c>
      <c r="AB35">
        <f t="shared" si="12"/>
      </c>
      <c r="AC35">
        <f t="shared" si="22"/>
      </c>
      <c r="AD35">
        <f t="shared" si="13"/>
      </c>
      <c r="AE35">
        <f t="shared" si="23"/>
      </c>
    </row>
    <row r="36" spans="1:31" ht="12.75">
      <c r="A36" s="2">
        <v>9</v>
      </c>
      <c r="B36" s="9">
        <f ca="1" t="shared" si="0"/>
      </c>
      <c r="E36" s="48"/>
      <c r="F36" s="3"/>
      <c r="G36" s="49">
        <f t="shared" si="14"/>
      </c>
      <c r="H36" s="3">
        <f t="shared" si="1"/>
      </c>
      <c r="I36" s="49">
        <f t="shared" si="2"/>
      </c>
      <c r="J36" s="49">
        <f t="shared" si="15"/>
      </c>
      <c r="K36" s="49">
        <f t="shared" si="16"/>
      </c>
      <c r="L36" s="49">
        <f t="shared" si="3"/>
      </c>
      <c r="M36" s="49">
        <f t="shared" si="4"/>
      </c>
      <c r="N36" s="3">
        <f t="shared" si="5"/>
      </c>
      <c r="O36" s="49">
        <f t="shared" si="6"/>
      </c>
      <c r="P36" s="49">
        <f t="shared" si="7"/>
      </c>
      <c r="Q36" s="49">
        <f t="shared" si="8"/>
      </c>
      <c r="R36" s="49">
        <f t="shared" si="17"/>
      </c>
      <c r="S36" s="49">
        <f t="shared" si="18"/>
      </c>
      <c r="T36" s="49">
        <f t="shared" si="9"/>
      </c>
      <c r="U36" s="20">
        <f t="shared" si="10"/>
      </c>
      <c r="V36" s="21">
        <f t="shared" si="11"/>
      </c>
      <c r="W36" s="186"/>
      <c r="X36">
        <f t="shared" si="19"/>
      </c>
      <c r="Y36" s="3">
        <f t="shared" si="20"/>
      </c>
      <c r="Z36" s="3">
        <f t="shared" si="21"/>
      </c>
      <c r="AB36" s="3">
        <f t="shared" si="12"/>
      </c>
      <c r="AC36" s="3">
        <f t="shared" si="22"/>
      </c>
      <c r="AD36" s="3">
        <f t="shared" si="13"/>
      </c>
      <c r="AE36" s="3">
        <f t="shared" si="23"/>
      </c>
    </row>
    <row r="37" spans="2:31" ht="12.75">
      <c r="B37" s="9"/>
      <c r="E37" s="19" t="str">
        <f>IF(SUM(X28:X36)&lt;&gt;1,"Incomplete","OK")</f>
        <v>OK</v>
      </c>
      <c r="G37" s="5">
        <f>SUM(G28:G36)</f>
        <v>61.90914634416702</v>
      </c>
      <c r="H37" s="179">
        <f>EXP(Y37)</f>
        <v>0.7740943942823886</v>
      </c>
      <c r="J37" s="5">
        <f>SUM(J28:J36)</f>
        <v>1.0027774669052627</v>
      </c>
      <c r="K37" s="5">
        <f>SUM(K28:K36)</f>
        <v>0.35043440504497053</v>
      </c>
      <c r="M37" s="5">
        <f>SUM(M28:M36)</f>
        <v>62.10930902272805</v>
      </c>
      <c r="N37" s="179">
        <f>EXP(Z37)</f>
        <v>0.9024967404929959</v>
      </c>
      <c r="P37" s="5">
        <f>SUM(P28:P36)</f>
        <v>1.0024928617596298</v>
      </c>
      <c r="Q37" s="5">
        <f>SUM(Q28:Q36)</f>
        <v>0.34568138116406494</v>
      </c>
      <c r="Y37">
        <f>SUM(Y28:Y36)</f>
        <v>-0.2560614563912971</v>
      </c>
      <c r="Z37">
        <f>SUM(Z28:Z36)</f>
        <v>-0.10259020042373289</v>
      </c>
      <c r="AB37" s="179">
        <f>EXP(AC37)</f>
        <v>0.9434695161086011</v>
      </c>
      <c r="AC37">
        <f>SUM(AC28:AC36)</f>
        <v>-0.058191224066343174</v>
      </c>
      <c r="AD37" s="179">
        <f>EXP(AE37)</f>
        <v>0.9264498888895999</v>
      </c>
      <c r="AE37">
        <f>SUM(AE28:AE36)</f>
        <v>-0.07639532118507164</v>
      </c>
    </row>
    <row r="38" ht="12.75">
      <c r="B38" s="9"/>
    </row>
    <row r="39" spans="2:4" ht="12.75">
      <c r="B39" s="181" t="s">
        <v>496</v>
      </c>
      <c r="C39" s="3"/>
      <c r="D39" s="3"/>
    </row>
    <row r="40" spans="1:31" ht="12.75">
      <c r="A40" s="2">
        <v>1</v>
      </c>
      <c r="B40" s="182" t="str">
        <f aca="true" ca="1" t="shared" si="24" ref="B40:B48">IF(OFFSET(ColdComp,A40,0)=0,"",OFFSET(ColdComp,A40,0))</f>
        <v>Water</v>
      </c>
      <c r="E40" s="45">
        <v>1</v>
      </c>
      <c r="G40" s="18">
        <f>IF($B40&lt;&gt;"",E40*CHOOSE(units,(VLOOKUP($B40,FluidData,13,FALSE)*TS_TinC+VLOOKUP($B40,FluidData,14,FALSE))/INDEX(units_conv,18,3),VLOOKUP($B40,FluidData,13,FALSE)*TS_TinC+VLOOKUP($B40,FluidData,14,FALSE)),"")</f>
        <v>62.25228236455735</v>
      </c>
      <c r="H40" s="8">
        <f>IF($B40&lt;&gt;"",EXP(VLOOKUP($B40,FluidData,10,FALSE)+VLOOKUP($B40,FluidData,11,FALSE)/(VLOOKUP($B40,FluidData,12,FALSE)+273.15+TS_TinC)),"")</f>
        <v>1.0159835467780003</v>
      </c>
      <c r="I40" s="18">
        <f>IF($B40&lt;&gt;"",VLOOKUP($B40,FluidData,22,FALSE),"")</f>
        <v>18.02</v>
      </c>
      <c r="J40" s="18">
        <f>IF($B40&lt;&gt;"",E40*CHOOSE(units,(VLOOKUP($B40,FluidData,17,FALSE)*TS_TinC+VLOOKUP($B40,FluidData,18,FALSE))/INDEX(units_conv,10,3),VLOOKUP($B40,FluidData,17,FALSE)*TS_TinC+VLOOKUP($B40,FluidData,18,FALSE)),"")</f>
        <v>1.002289572369892</v>
      </c>
      <c r="K40" s="18">
        <f>IF($B40&lt;&gt;"",CHOOSE(units,(VLOOKUP($B40,FluidData,15,FALSE)*TS_TinC+VLOOKUP($B40,FluidData,16,FALSE))/INDEX(units_conv,5,3),VLOOKUP($B40,FluidData,15,FALSE)*TS_TinC+VLOOKUP($B40,FluidData,16,FALSE)),"")</f>
        <v>0.34228636410627516</v>
      </c>
      <c r="L40" s="18">
        <f>IF($B40&lt;&gt;"",CHOOSE(units,VLOOKUP($B40,FluidData,23,FALSE)/INDEX(units_conv,16,3),VLOOKUP($B40,FluidData,23,FALSE)),"")</f>
        <v>971.6251074806535</v>
      </c>
      <c r="M40" s="18">
        <f aca="true" t="shared" si="25" ref="M40:M48">IF($B40&lt;&gt;"",$E40*CHOOSE(units,(VLOOKUP($B40,FluidData,13,FALSE)*TS_ToutC+VLOOKUP($B40,FluidData,14,FALSE))/INDEX(units_conv,18,3),VLOOKUP($B40,FluidData,13,FALSE)*TS_ToutC+VLOOKUP($B40,FluidData,14,FALSE)),"")</f>
        <v>62.18554162567291</v>
      </c>
      <c r="N40" s="8">
        <f aca="true" t="shared" si="26" ref="N40:N48">IF($B40&lt;&gt;"",EXP(VLOOKUP($B40,FluidData,10,FALSE)+VLOOKUP($B40,FluidData,11,FALSE)/(VLOOKUP($B40,FluidData,12,FALSE)+273.15+TS_ToutC)),"")</f>
        <v>0.9603971571617148</v>
      </c>
      <c r="O40" s="18">
        <f aca="true" t="shared" si="27" ref="O40:O48">IF($B40&lt;&gt;"",VLOOKUP($B40,FluidData,22,FALSE),"")</f>
        <v>18.02</v>
      </c>
      <c r="P40" s="18">
        <f aca="true" t="shared" si="28" ref="P40:P48">IF($B40&lt;&gt;"",$E40*CHOOSE(units,(VLOOKUP($B40,FluidData,17,FALSE)*TS_ToutC+VLOOKUP($B40,FluidData,18,FALSE))/INDEX(units_conv,10,3),VLOOKUP($B40,FluidData,17,FALSE)*TS_ToutC+VLOOKUP($B40,FluidData,18,FALSE)),"")</f>
        <v>1.0023844689702293</v>
      </c>
      <c r="Q40" s="18">
        <f aca="true" t="shared" si="29" ref="Q40:Q48">IF($B40&lt;&gt;"",$E40*CHOOSE(units,(VLOOKUP($B40,FluidData,15,FALSE)*TS_ToutC+VLOOKUP($B40,FluidData,16,FALSE))/INDEX(units_conv,5,3),VLOOKUP($B40,FluidData,15,FALSE)*TS_ToutC+VLOOKUP($B40,FluidData,16,FALSE)),"")</f>
        <v>0.3438711766598818</v>
      </c>
      <c r="R40" s="18">
        <f>IF(B40&lt;&gt;"",VLOOKUP($B40,FluidData,7,FALSE),"")</f>
        <v>8.02764441666169</v>
      </c>
      <c r="S40" s="18">
        <f>IF(B40&lt;&gt;"",VLOOKUP($B40,FluidData,8,FALSE),"")</f>
        <v>1706.134187728992</v>
      </c>
      <c r="T40" s="18">
        <f>IF(B40&lt;&gt;"",VLOOKUP($B40,FluidData,9,FALSE),"")</f>
        <v>231.4921834319703</v>
      </c>
      <c r="U40" s="5">
        <f aca="true" t="shared" si="30" ref="U40:U48">IF(OR(S40="",B40=""),"",CHOOSE(units,10^(R40-S40/(SS_TinC+T40)),10^(R40-S40/(SS_Tin+T40))))</f>
        <v>35.69108775673104</v>
      </c>
      <c r="V40" s="8">
        <f aca="true" t="shared" si="31" ref="V40:V48">IF(OR(U40="",B40=""),"",CHOOSE(units,U40*0.01933677-14.696,U40*0.1333224-101.3))</f>
        <v>-14.005849644998277</v>
      </c>
      <c r="W40" s="8"/>
      <c r="X40">
        <f>IF($B40="","",E40)</f>
        <v>1</v>
      </c>
      <c r="Y40">
        <f>IF($B40&lt;&gt;"",$E40*LN(H40),"")</f>
        <v>0.015857154909022588</v>
      </c>
      <c r="Z40">
        <f>IF($B40&lt;&gt;"",$E40*LN(N40),"")</f>
        <v>-0.0404083746959434</v>
      </c>
      <c r="AB40" s="8">
        <f aca="true" t="shared" si="32" ref="AB40:AB48">IF($B40&lt;&gt;"",EXP(VLOOKUP($B40,FluidData,10,FALSE)+VLOOKUP($B40,FluidData,11,FALSE)/(VLOOKUP($B40,FluidData,12,FALSE)+273.15+SS_WallTemp)),"")</f>
        <v>0.9434695161086011</v>
      </c>
      <c r="AC40">
        <f aca="true" t="shared" si="33" ref="AC40:AC48">IF($B40&lt;&gt;"",$E40*LN(AB40),"")</f>
        <v>-0.058191224066343174</v>
      </c>
      <c r="AD40" s="8">
        <f aca="true" t="shared" si="34" ref="AD40:AD48">IF($B40&lt;&gt;"",EXP(VLOOKUP($B40,FluidData,10,FALSE)+VLOOKUP($B40,FluidData,11,FALSE)/(VLOOKUP($B40,FluidData,12,FALSE)+273.15+TS_WallTemp)),"")</f>
        <v>0.9264498888895999</v>
      </c>
      <c r="AE40">
        <f aca="true" t="shared" si="35" ref="AE40:AE48">IF($B40&lt;&gt;"",$E40*LN(AD40),"")</f>
        <v>-0.07639532118507164</v>
      </c>
    </row>
    <row r="41" spans="1:31" ht="12.75">
      <c r="A41" s="2">
        <v>2</v>
      </c>
      <c r="B41" s="182">
        <f ca="1" t="shared" si="24"/>
      </c>
      <c r="E41" s="45"/>
      <c r="G41" s="18">
        <f>IF($B41&lt;&gt;"",E41*CHOOSE(units,(VLOOKUP($B41,FluidData,13,FALSE)*TS_TinC+VLOOKUP($B41,FluidData,14,FALSE))/INDEX(units_conv,18,3),VLOOKUP($B41,FluidData,13,FALSE)*TS_TinC+VLOOKUP($B41,FluidData,14,FALSE)),"")</f>
      </c>
      <c r="H41">
        <f>IF($B41&lt;&gt;"",EXP(VLOOKUP($B41,FluidData,10,FALSE)+VLOOKUP($B41,FluidData,11,FALSE)/(VLOOKUP($B41,FluidData,12,FALSE)+273.15+TS_TinC)),"")</f>
      </c>
      <c r="I41" s="18">
        <f>IF($B41&lt;&gt;"",VLOOKUP($B41,FluidData,22,FALSE),"")</f>
      </c>
      <c r="J41" s="18">
        <f>IF($B41&lt;&gt;"",E41*CHOOSE(units,(VLOOKUP($B41,FluidData,17,FALSE)*TS_TinC+VLOOKUP($B41,FluidData,18,FALSE))/INDEX(units_conv,10,3),VLOOKUP($B41,FluidData,17,FALSE)*TS_TinC+VLOOKUP($B41,FluidData,18,FALSE)),"")</f>
      </c>
      <c r="K41" s="18">
        <f>IF($B41&lt;&gt;"",CHOOSE(units,(VLOOKUP($B41,FluidData,15,FALSE)*TS_TinC+VLOOKUP($B41,FluidData,16,FALSE))/INDEX(units_conv,5,3),VLOOKUP($B41,FluidData,15,FALSE)*TS_TinC+VLOOKUP($B41,FluidData,16,FALSE)),"")</f>
      </c>
      <c r="L41" s="18">
        <f>IF($B41&lt;&gt;"",CHOOSE(units,VLOOKUP($B41,FluidData,23,FALSE)/INDEX(units_conv,16,3),VLOOKUP($B41,FluidData,23,FALSE)),"")</f>
      </c>
      <c r="M41" s="18">
        <f t="shared" si="25"/>
      </c>
      <c r="N41" s="8">
        <f t="shared" si="26"/>
      </c>
      <c r="O41" s="18">
        <f t="shared" si="27"/>
      </c>
      <c r="P41" s="18">
        <f t="shared" si="28"/>
      </c>
      <c r="Q41" s="18">
        <f t="shared" si="29"/>
      </c>
      <c r="R41" s="18">
        <f>IF(B41&lt;&gt;"",VLOOKUP($B41,FluidData,7,FALSE),"")</f>
      </c>
      <c r="S41" s="18">
        <f>IF(B41&lt;&gt;"",VLOOKUP($B41,FluidData,8,FALSE),"")</f>
      </c>
      <c r="T41" s="18">
        <f>IF(B41&lt;&gt;"",VLOOKUP($B41,FluidData,9,FALSE),"")</f>
      </c>
      <c r="U41" s="5">
        <f t="shared" si="30"/>
      </c>
      <c r="V41" s="8">
        <f t="shared" si="31"/>
      </c>
      <c r="W41" s="8"/>
      <c r="X41">
        <f aca="true" t="shared" si="36" ref="X41:X48">IF($B41="","",E41)</f>
      </c>
      <c r="Y41">
        <f aca="true" t="shared" si="37" ref="Y41:Y48">IF($B41&lt;&gt;"",$E41*LN(H41),"")</f>
      </c>
      <c r="Z41">
        <f aca="true" t="shared" si="38" ref="Z41:Z48">IF($B41&lt;&gt;"",$E41*LN(N41),"")</f>
      </c>
      <c r="AB41" s="8">
        <f t="shared" si="32"/>
      </c>
      <c r="AC41">
        <f t="shared" si="33"/>
      </c>
      <c r="AD41" s="8">
        <f t="shared" si="34"/>
      </c>
      <c r="AE41">
        <f t="shared" si="35"/>
      </c>
    </row>
    <row r="42" spans="1:31" ht="12.75">
      <c r="A42" s="2">
        <v>3</v>
      </c>
      <c r="B42" s="182">
        <f ca="1" t="shared" si="24"/>
      </c>
      <c r="E42" s="45"/>
      <c r="G42" s="18">
        <f aca="true" t="shared" si="39" ref="G42:G48">IF($B42&lt;&gt;"",E42*CHOOSE(units,(VLOOKUP($B42,FluidData,13,FALSE)*TS_TinC+VLOOKUP($B42,FluidData,14,FALSE))/INDEX(units_conv,18,3),VLOOKUP($B42,FluidData,13,FALSE)*TS_TinC+VLOOKUP($B42,FluidData,14,FALSE)),"")</f>
      </c>
      <c r="H42">
        <f aca="true" t="shared" si="40" ref="H42:H48">IF($B42&lt;&gt;"",EXP(VLOOKUP($B42,FluidData,10,FALSE)+VLOOKUP($B42,FluidData,11,FALSE)/(VLOOKUP($B42,FluidData,12,FALSE)+273.15+TS_TinC)),"")</f>
      </c>
      <c r="I42" s="18">
        <f aca="true" t="shared" si="41" ref="I42:I48">IF($B42&lt;&gt;"",VLOOKUP($B42,FluidData,22,FALSE),"")</f>
      </c>
      <c r="J42" s="18">
        <f aca="true" t="shared" si="42" ref="J42:J48">IF($B42&lt;&gt;"",E42*CHOOSE(units,(VLOOKUP($B42,FluidData,17,FALSE)*TS_TinC+VLOOKUP($B42,FluidData,18,FALSE))/INDEX(units_conv,10,3),VLOOKUP($B42,FluidData,17,FALSE)*TS_TinC+VLOOKUP($B42,FluidData,18,FALSE)),"")</f>
      </c>
      <c r="K42" s="18">
        <f aca="true" t="shared" si="43" ref="K42:K48">IF($B42&lt;&gt;"",CHOOSE(units,(VLOOKUP($B42,FluidData,15,FALSE)*TS_TinC+VLOOKUP($B42,FluidData,16,FALSE))/INDEX(units_conv,5,3),VLOOKUP($B42,FluidData,15,FALSE)*TS_TinC+VLOOKUP($B42,FluidData,16,FALSE)),"")</f>
      </c>
      <c r="L42" s="18">
        <f aca="true" t="shared" si="44" ref="L42:L48">IF($B42&lt;&gt;"",CHOOSE(units,VLOOKUP($B42,FluidData,23,FALSE)/INDEX(units_conv,16,3),VLOOKUP($B42,FluidData,23,FALSE)),"")</f>
      </c>
      <c r="M42" s="18">
        <f t="shared" si="25"/>
      </c>
      <c r="N42" s="8">
        <f t="shared" si="26"/>
      </c>
      <c r="O42" s="18">
        <f t="shared" si="27"/>
      </c>
      <c r="P42" s="18">
        <f t="shared" si="28"/>
      </c>
      <c r="Q42" s="18">
        <f t="shared" si="29"/>
      </c>
      <c r="R42" s="18">
        <f aca="true" t="shared" si="45" ref="R42:R48">IF(B42&lt;&gt;"",VLOOKUP($B42,FluidData,7,FALSE),"")</f>
      </c>
      <c r="S42" s="18">
        <f aca="true" t="shared" si="46" ref="S42:S48">IF(B42&lt;&gt;"",VLOOKUP($B42,FluidData,8,FALSE),"")</f>
      </c>
      <c r="T42" s="18">
        <f aca="true" t="shared" si="47" ref="T42:T48">IF(B42&lt;&gt;"",VLOOKUP($B42,FluidData,9,FALSE),"")</f>
      </c>
      <c r="U42" s="5">
        <f t="shared" si="30"/>
      </c>
      <c r="V42" s="8">
        <f t="shared" si="31"/>
      </c>
      <c r="W42" s="8"/>
      <c r="X42">
        <f t="shared" si="36"/>
      </c>
      <c r="Y42">
        <f t="shared" si="37"/>
      </c>
      <c r="Z42">
        <f t="shared" si="38"/>
      </c>
      <c r="AB42" s="8">
        <f t="shared" si="32"/>
      </c>
      <c r="AC42">
        <f t="shared" si="33"/>
      </c>
      <c r="AD42" s="8">
        <f t="shared" si="34"/>
      </c>
      <c r="AE42">
        <f t="shared" si="35"/>
      </c>
    </row>
    <row r="43" spans="1:31" ht="12.75">
      <c r="A43" s="2">
        <v>4</v>
      </c>
      <c r="B43" s="182">
        <f ca="1" t="shared" si="24"/>
      </c>
      <c r="E43" s="45"/>
      <c r="G43" s="18">
        <f t="shared" si="39"/>
      </c>
      <c r="H43">
        <f t="shared" si="40"/>
      </c>
      <c r="I43" s="18">
        <f t="shared" si="41"/>
      </c>
      <c r="J43" s="18">
        <f t="shared" si="42"/>
      </c>
      <c r="K43" s="18">
        <f t="shared" si="43"/>
      </c>
      <c r="L43" s="18">
        <f t="shared" si="44"/>
      </c>
      <c r="M43" s="18">
        <f t="shared" si="25"/>
      </c>
      <c r="N43" s="8">
        <f t="shared" si="26"/>
      </c>
      <c r="O43" s="18">
        <f t="shared" si="27"/>
      </c>
      <c r="P43" s="18">
        <f t="shared" si="28"/>
      </c>
      <c r="Q43" s="18">
        <f t="shared" si="29"/>
      </c>
      <c r="R43" s="18">
        <f t="shared" si="45"/>
      </c>
      <c r="S43" s="18">
        <f t="shared" si="46"/>
      </c>
      <c r="T43" s="18">
        <f t="shared" si="47"/>
      </c>
      <c r="U43" s="5">
        <f t="shared" si="30"/>
      </c>
      <c r="V43" s="8">
        <f t="shared" si="31"/>
      </c>
      <c r="W43" s="8"/>
      <c r="X43">
        <f t="shared" si="36"/>
      </c>
      <c r="Y43">
        <f t="shared" si="37"/>
      </c>
      <c r="Z43">
        <f t="shared" si="38"/>
      </c>
      <c r="AB43" s="8">
        <f t="shared" si="32"/>
      </c>
      <c r="AC43">
        <f t="shared" si="33"/>
      </c>
      <c r="AD43" s="8">
        <f t="shared" si="34"/>
      </c>
      <c r="AE43">
        <f t="shared" si="35"/>
      </c>
    </row>
    <row r="44" spans="1:31" ht="12.75">
      <c r="A44" s="2">
        <v>5</v>
      </c>
      <c r="B44" s="182">
        <f ca="1" t="shared" si="24"/>
      </c>
      <c r="E44" s="45"/>
      <c r="G44" s="18">
        <f t="shared" si="39"/>
      </c>
      <c r="H44">
        <f t="shared" si="40"/>
      </c>
      <c r="I44" s="18">
        <f t="shared" si="41"/>
      </c>
      <c r="J44" s="18">
        <f t="shared" si="42"/>
      </c>
      <c r="K44" s="18">
        <f t="shared" si="43"/>
      </c>
      <c r="L44" s="18">
        <f t="shared" si="44"/>
      </c>
      <c r="M44" s="18">
        <f t="shared" si="25"/>
      </c>
      <c r="N44" s="8">
        <f t="shared" si="26"/>
      </c>
      <c r="O44" s="18">
        <f t="shared" si="27"/>
      </c>
      <c r="P44" s="18">
        <f t="shared" si="28"/>
      </c>
      <c r="Q44" s="18">
        <f t="shared" si="29"/>
      </c>
      <c r="R44" s="18">
        <f t="shared" si="45"/>
      </c>
      <c r="S44" s="18">
        <f t="shared" si="46"/>
      </c>
      <c r="T44" s="18">
        <f t="shared" si="47"/>
      </c>
      <c r="U44" s="5">
        <f t="shared" si="30"/>
      </c>
      <c r="V44" s="8">
        <f t="shared" si="31"/>
      </c>
      <c r="W44" s="8"/>
      <c r="X44">
        <f t="shared" si="36"/>
      </c>
      <c r="Y44">
        <f t="shared" si="37"/>
      </c>
      <c r="Z44">
        <f t="shared" si="38"/>
      </c>
      <c r="AB44" s="8">
        <f t="shared" si="32"/>
      </c>
      <c r="AC44">
        <f t="shared" si="33"/>
      </c>
      <c r="AD44" s="8">
        <f t="shared" si="34"/>
      </c>
      <c r="AE44">
        <f t="shared" si="35"/>
      </c>
    </row>
    <row r="45" spans="1:31" ht="12.75">
      <c r="A45" s="2">
        <v>6</v>
      </c>
      <c r="B45" s="182">
        <f ca="1" t="shared" si="24"/>
      </c>
      <c r="E45" s="45"/>
      <c r="G45" s="18">
        <f t="shared" si="39"/>
      </c>
      <c r="H45">
        <f t="shared" si="40"/>
      </c>
      <c r="I45" s="18">
        <f t="shared" si="41"/>
      </c>
      <c r="J45" s="18">
        <f t="shared" si="42"/>
      </c>
      <c r="K45" s="18">
        <f t="shared" si="43"/>
      </c>
      <c r="L45" s="18">
        <f t="shared" si="44"/>
      </c>
      <c r="M45" s="18">
        <f t="shared" si="25"/>
      </c>
      <c r="N45" s="8">
        <f t="shared" si="26"/>
      </c>
      <c r="O45" s="18">
        <f t="shared" si="27"/>
      </c>
      <c r="P45" s="18">
        <f t="shared" si="28"/>
      </c>
      <c r="Q45" s="18">
        <f t="shared" si="29"/>
      </c>
      <c r="R45" s="18">
        <f t="shared" si="45"/>
      </c>
      <c r="S45" s="18">
        <f t="shared" si="46"/>
      </c>
      <c r="T45" s="18">
        <f t="shared" si="47"/>
      </c>
      <c r="U45" s="5">
        <f t="shared" si="30"/>
      </c>
      <c r="V45" s="8">
        <f t="shared" si="31"/>
      </c>
      <c r="W45" s="8"/>
      <c r="X45">
        <f t="shared" si="36"/>
      </c>
      <c r="Y45">
        <f t="shared" si="37"/>
      </c>
      <c r="Z45">
        <f t="shared" si="38"/>
      </c>
      <c r="AB45" s="8">
        <f t="shared" si="32"/>
      </c>
      <c r="AC45">
        <f t="shared" si="33"/>
      </c>
      <c r="AD45" s="8">
        <f t="shared" si="34"/>
      </c>
      <c r="AE45">
        <f t="shared" si="35"/>
      </c>
    </row>
    <row r="46" spans="1:31" ht="12.75">
      <c r="A46" s="2">
        <v>7</v>
      </c>
      <c r="B46" s="182">
        <f ca="1" t="shared" si="24"/>
      </c>
      <c r="E46" s="45"/>
      <c r="G46" s="18">
        <f t="shared" si="39"/>
      </c>
      <c r="H46">
        <f t="shared" si="40"/>
      </c>
      <c r="I46" s="18">
        <f t="shared" si="41"/>
      </c>
      <c r="J46" s="18">
        <f t="shared" si="42"/>
      </c>
      <c r="K46" s="18">
        <f t="shared" si="43"/>
      </c>
      <c r="L46" s="18">
        <f t="shared" si="44"/>
      </c>
      <c r="M46" s="18">
        <f t="shared" si="25"/>
      </c>
      <c r="N46" s="8">
        <f t="shared" si="26"/>
      </c>
      <c r="O46" s="18">
        <f t="shared" si="27"/>
      </c>
      <c r="P46" s="18">
        <f t="shared" si="28"/>
      </c>
      <c r="Q46" s="18">
        <f t="shared" si="29"/>
      </c>
      <c r="R46" s="18">
        <f t="shared" si="45"/>
      </c>
      <c r="S46" s="18">
        <f t="shared" si="46"/>
      </c>
      <c r="T46" s="18">
        <f t="shared" si="47"/>
      </c>
      <c r="U46" s="5">
        <f t="shared" si="30"/>
      </c>
      <c r="V46" s="8">
        <f t="shared" si="31"/>
      </c>
      <c r="W46" s="8"/>
      <c r="X46">
        <f t="shared" si="36"/>
      </c>
      <c r="Y46">
        <f t="shared" si="37"/>
      </c>
      <c r="Z46">
        <f t="shared" si="38"/>
      </c>
      <c r="AB46" s="8">
        <f t="shared" si="32"/>
      </c>
      <c r="AC46">
        <f t="shared" si="33"/>
      </c>
      <c r="AD46" s="8">
        <f t="shared" si="34"/>
      </c>
      <c r="AE46">
        <f t="shared" si="35"/>
      </c>
    </row>
    <row r="47" spans="1:31" ht="12.75">
      <c r="A47" s="2">
        <v>8</v>
      </c>
      <c r="B47" s="182">
        <f ca="1" t="shared" si="24"/>
      </c>
      <c r="E47" s="45"/>
      <c r="G47" s="18">
        <f t="shared" si="39"/>
      </c>
      <c r="H47">
        <f t="shared" si="40"/>
      </c>
      <c r="I47" s="18">
        <f t="shared" si="41"/>
      </c>
      <c r="J47" s="18">
        <f t="shared" si="42"/>
      </c>
      <c r="K47" s="18">
        <f t="shared" si="43"/>
      </c>
      <c r="L47" s="18">
        <f t="shared" si="44"/>
      </c>
      <c r="M47" s="18">
        <f t="shared" si="25"/>
      </c>
      <c r="N47" s="8">
        <f t="shared" si="26"/>
      </c>
      <c r="O47" s="18">
        <f t="shared" si="27"/>
      </c>
      <c r="P47" s="18">
        <f t="shared" si="28"/>
      </c>
      <c r="Q47" s="18">
        <f t="shared" si="29"/>
      </c>
      <c r="R47" s="18">
        <f t="shared" si="45"/>
      </c>
      <c r="S47" s="18">
        <f t="shared" si="46"/>
      </c>
      <c r="T47" s="18">
        <f t="shared" si="47"/>
      </c>
      <c r="U47" s="5">
        <f t="shared" si="30"/>
      </c>
      <c r="V47" s="8">
        <f t="shared" si="31"/>
      </c>
      <c r="W47" s="8"/>
      <c r="X47">
        <f t="shared" si="36"/>
      </c>
      <c r="Y47">
        <f t="shared" si="37"/>
      </c>
      <c r="Z47">
        <f t="shared" si="38"/>
      </c>
      <c r="AB47" s="8">
        <f t="shared" si="32"/>
      </c>
      <c r="AC47">
        <f t="shared" si="33"/>
      </c>
      <c r="AD47" s="8">
        <f t="shared" si="34"/>
      </c>
      <c r="AE47">
        <f t="shared" si="35"/>
      </c>
    </row>
    <row r="48" spans="1:31" ht="12.75">
      <c r="A48" s="2">
        <v>9</v>
      </c>
      <c r="B48" s="182">
        <f ca="1" t="shared" si="24"/>
      </c>
      <c r="E48" s="48"/>
      <c r="F48" s="3"/>
      <c r="G48" s="49">
        <f t="shared" si="39"/>
      </c>
      <c r="H48" s="3">
        <f t="shared" si="40"/>
      </c>
      <c r="I48" s="49">
        <f t="shared" si="41"/>
      </c>
      <c r="J48" s="49">
        <f t="shared" si="42"/>
      </c>
      <c r="K48" s="49">
        <f t="shared" si="43"/>
      </c>
      <c r="L48" s="49">
        <f t="shared" si="44"/>
      </c>
      <c r="M48" s="49">
        <f t="shared" si="25"/>
      </c>
      <c r="N48" s="21">
        <f t="shared" si="26"/>
      </c>
      <c r="O48" s="49">
        <f t="shared" si="27"/>
      </c>
      <c r="P48" s="49">
        <f t="shared" si="28"/>
      </c>
      <c r="Q48" s="49">
        <f t="shared" si="29"/>
      </c>
      <c r="R48" s="49">
        <f t="shared" si="45"/>
      </c>
      <c r="S48" s="49">
        <f t="shared" si="46"/>
      </c>
      <c r="T48" s="49">
        <f t="shared" si="47"/>
      </c>
      <c r="U48" s="20">
        <f t="shared" si="30"/>
      </c>
      <c r="V48" s="21">
        <f t="shared" si="31"/>
      </c>
      <c r="W48" s="186"/>
      <c r="X48">
        <f t="shared" si="36"/>
      </c>
      <c r="Y48" s="3">
        <f t="shared" si="37"/>
      </c>
      <c r="Z48" s="3">
        <f t="shared" si="38"/>
      </c>
      <c r="AB48" s="21">
        <f t="shared" si="32"/>
      </c>
      <c r="AC48" s="3">
        <f t="shared" si="33"/>
      </c>
      <c r="AD48" s="21">
        <f t="shared" si="34"/>
      </c>
      <c r="AE48" s="3">
        <f t="shared" si="35"/>
      </c>
    </row>
    <row r="49" spans="1:31" ht="12.75">
      <c r="A49" s="1"/>
      <c r="B49" s="2"/>
      <c r="E49" s="19" t="str">
        <f>IF(SUM(X40:X48)&lt;&gt;1,"Incomplete","OK")</f>
        <v>OK</v>
      </c>
      <c r="G49" s="5">
        <f>SUM(G40:G48)</f>
        <v>62.25228236455735</v>
      </c>
      <c r="H49" s="180">
        <f>EXP(Y49)</f>
        <v>1.0159835467780003</v>
      </c>
      <c r="J49" s="5">
        <f>SUM(J40:J48)</f>
        <v>1.002289572369892</v>
      </c>
      <c r="K49" s="5">
        <f>SUM(K40:K48)</f>
        <v>0.34228636410627516</v>
      </c>
      <c r="M49" s="5">
        <f>SUM(M40:M48)</f>
        <v>62.18554162567291</v>
      </c>
      <c r="N49" s="8">
        <f>EXP(Z49)</f>
        <v>0.9603971571617148</v>
      </c>
      <c r="P49" s="5">
        <f>SUM(P40:P48)</f>
        <v>1.0023844689702293</v>
      </c>
      <c r="Q49" s="5">
        <f>SUM(Q40:Q48)</f>
        <v>0.3438711766598818</v>
      </c>
      <c r="Y49">
        <f>SUM(Y40:Y48)</f>
        <v>0.015857154909022588</v>
      </c>
      <c r="Z49">
        <f>SUM(Z40:Z48)</f>
        <v>-0.0404083746959434</v>
      </c>
      <c r="AB49" s="179">
        <f>EXP(AC49)</f>
        <v>0.9434695161086011</v>
      </c>
      <c r="AC49">
        <f>SUM(AC40:AC48)</f>
        <v>-0.058191224066343174</v>
      </c>
      <c r="AD49" s="179">
        <f>EXP(AE49)</f>
        <v>0.9264498888895999</v>
      </c>
      <c r="AE49">
        <f>SUM(AE40:AE48)</f>
        <v>-0.07639532118507164</v>
      </c>
    </row>
    <row r="50" spans="1:2" ht="12.75">
      <c r="A50" s="1"/>
      <c r="B50" s="2"/>
    </row>
    <row r="51" spans="1:2" ht="12.75">
      <c r="A51" s="1"/>
      <c r="B51" s="2"/>
    </row>
    <row r="52" spans="1:2" ht="12.75">
      <c r="A52" s="1"/>
      <c r="B52" s="2"/>
    </row>
    <row r="53" spans="1:2" ht="12.75">
      <c r="A53" s="1"/>
      <c r="B53" s="2"/>
    </row>
    <row r="54" spans="1:8" ht="12.75">
      <c r="A54" s="1"/>
      <c r="D54" s="42" t="s">
        <v>90</v>
      </c>
      <c r="E54" s="43"/>
      <c r="G54" s="42" t="s">
        <v>91</v>
      </c>
      <c r="H54" s="43"/>
    </row>
    <row r="55" spans="1:8" ht="12.75">
      <c r="A55" s="1"/>
      <c r="B55" s="3" t="s">
        <v>6</v>
      </c>
      <c r="C55" s="3" t="s">
        <v>7</v>
      </c>
      <c r="D55" s="4" t="s">
        <v>36</v>
      </c>
      <c r="E55" s="4" t="s">
        <v>37</v>
      </c>
      <c r="G55" s="4" t="s">
        <v>36</v>
      </c>
      <c r="H55" s="4" t="s">
        <v>37</v>
      </c>
    </row>
    <row r="56" spans="2:8" ht="12.75">
      <c r="B56" t="s">
        <v>28</v>
      </c>
      <c r="D56" s="43" t="str">
        <f>SS_Name</f>
        <v>Distilled Water</v>
      </c>
      <c r="E56" s="43"/>
      <c r="G56" s="43" t="str">
        <f>TS_Name</f>
        <v>Raw Water</v>
      </c>
      <c r="H56" s="43"/>
    </row>
    <row r="57" spans="2:8" ht="12.75">
      <c r="B57" t="s">
        <v>29</v>
      </c>
      <c r="C57" t="str">
        <f aca="true" t="shared" si="48" ref="C57:C63">INDEX(units_conv,15,units*2)</f>
        <v>lb/h</v>
      </c>
      <c r="D57" s="43">
        <f>D9</f>
        <v>396000.00000000006</v>
      </c>
      <c r="E57" s="43"/>
      <c r="G57" s="43">
        <f>D18</f>
        <v>1188000</v>
      </c>
      <c r="H57" s="43"/>
    </row>
    <row r="58" spans="2:3" ht="12.75">
      <c r="B58" s="41" t="s">
        <v>22</v>
      </c>
      <c r="C58" t="str">
        <f t="shared" si="48"/>
        <v>lb/h</v>
      </c>
    </row>
    <row r="59" spans="2:3" ht="12.75">
      <c r="B59" s="41" t="s">
        <v>16</v>
      </c>
      <c r="C59" t="str">
        <f t="shared" si="48"/>
        <v>lb/h</v>
      </c>
    </row>
    <row r="60" spans="2:3" ht="12.75">
      <c r="B60" s="41" t="s">
        <v>30</v>
      </c>
      <c r="C60" t="str">
        <f t="shared" si="48"/>
        <v>lb/h</v>
      </c>
    </row>
    <row r="61" spans="2:3" ht="12.75">
      <c r="B61" s="41" t="s">
        <v>20</v>
      </c>
      <c r="C61" t="str">
        <f t="shared" si="48"/>
        <v>lb/h</v>
      </c>
    </row>
    <row r="62" spans="2:3" ht="12.75">
      <c r="B62" s="41" t="s">
        <v>89</v>
      </c>
      <c r="C62" t="str">
        <f t="shared" si="48"/>
        <v>lb/h</v>
      </c>
    </row>
    <row r="63" spans="2:3" ht="12.75">
      <c r="B63" t="s">
        <v>31</v>
      </c>
      <c r="C63" t="str">
        <f t="shared" si="48"/>
        <v>lb/h</v>
      </c>
    </row>
    <row r="64" spans="2:7" ht="12.75">
      <c r="B64" t="s">
        <v>32</v>
      </c>
      <c r="C64" t="str">
        <f>CHOOSE(units,"°F","°C")</f>
        <v>°F</v>
      </c>
      <c r="D64">
        <f>SS_Tin</f>
        <v>89.6</v>
      </c>
      <c r="G64">
        <f>TS_Tin</f>
        <v>68</v>
      </c>
    </row>
    <row r="65" spans="2:11" ht="13.5">
      <c r="B65" t="s">
        <v>0</v>
      </c>
      <c r="C65" t="str">
        <f>INDEX(units_conv,18,units*2)</f>
        <v>lb/ft3</v>
      </c>
      <c r="K65" s="177"/>
    </row>
    <row r="66" spans="2:11" ht="12.75">
      <c r="B66" t="s">
        <v>3</v>
      </c>
      <c r="C66" t="s">
        <v>4</v>
      </c>
      <c r="K66" s="176"/>
    </row>
    <row r="67" spans="2:11" ht="13.5">
      <c r="B67" t="s">
        <v>92</v>
      </c>
      <c r="K67" s="177"/>
    </row>
    <row r="68" spans="2:11" ht="12.75">
      <c r="B68" t="s">
        <v>93</v>
      </c>
      <c r="K68" s="176"/>
    </row>
    <row r="69" spans="2:11" ht="13.5">
      <c r="B69" t="s">
        <v>34</v>
      </c>
      <c r="C69" t="str">
        <f>INDEX(units_conv,10,units*2)</f>
        <v>Btu/lb-°F</v>
      </c>
      <c r="K69" s="177"/>
    </row>
    <row r="70" spans="2:11" ht="12.75">
      <c r="B70" t="s">
        <v>33</v>
      </c>
      <c r="C70" t="str">
        <f>INDEX(units_conv,5,units*2)</f>
        <v>Btu/h-ft-°F</v>
      </c>
      <c r="K70" s="176"/>
    </row>
    <row r="71" spans="2:11" ht="13.5">
      <c r="B71" t="s">
        <v>35</v>
      </c>
      <c r="C71" t="str">
        <f>INDEX(units_conv,16,units*2)</f>
        <v>Btu/lb</v>
      </c>
      <c r="K71" s="177"/>
    </row>
    <row r="72" spans="2:11" ht="12.75">
      <c r="B72" t="s">
        <v>11</v>
      </c>
      <c r="C72" t="str">
        <f>INDEX(units_conv,14,units*2)</f>
        <v>psig</v>
      </c>
      <c r="D72">
        <f>SS_Pin</f>
        <v>29.00754</v>
      </c>
      <c r="G72">
        <f>TS_Pin</f>
        <v>60</v>
      </c>
      <c r="K72" s="176"/>
    </row>
    <row r="73" spans="2:11" ht="13.5">
      <c r="B73" t="s">
        <v>25</v>
      </c>
      <c r="C73" t="str">
        <f>INDEX(units_conv,12,units*2)</f>
        <v>ft/s</v>
      </c>
      <c r="K73" s="177"/>
    </row>
    <row r="74" spans="2:11" ht="12.75">
      <c r="B74" t="s">
        <v>94</v>
      </c>
      <c r="C74" t="str">
        <f>INDEX(units_conv,14,units*2)</f>
        <v>psig</v>
      </c>
      <c r="D74">
        <f>SS_PAllow</f>
        <v>1.5</v>
      </c>
      <c r="G74">
        <f>TS_PAllow</f>
        <v>10</v>
      </c>
      <c r="K74" s="176"/>
    </row>
    <row r="75" spans="2:11" ht="13.5">
      <c r="B75" t="s">
        <v>95</v>
      </c>
      <c r="C75" t="str">
        <f>INDEX(units_conv,8,units*2)</f>
        <v>ft²-h-°F/Btu</v>
      </c>
      <c r="D75">
        <f>SS_Fouling</f>
        <v>0.000499687144</v>
      </c>
      <c r="G75">
        <f>TS_Fouling</f>
        <v>0.000499687144</v>
      </c>
      <c r="K75" s="177"/>
    </row>
    <row r="76" ht="12.75">
      <c r="K76" s="176"/>
    </row>
    <row r="77" ht="13.5">
      <c r="K77" s="177"/>
    </row>
    <row r="78" ht="12.75">
      <c r="K78" s="176"/>
    </row>
    <row r="79" ht="13.5">
      <c r="K79" s="177"/>
    </row>
    <row r="80" ht="12.75">
      <c r="K80" s="176"/>
    </row>
    <row r="81" ht="13.5">
      <c r="K81" s="177"/>
    </row>
    <row r="83" ht="12.75">
      <c r="K83" s="178"/>
    </row>
  </sheetData>
  <sheetProtection/>
  <conditionalFormatting sqref="H16:J16">
    <cfRule type="expression" priority="1" dxfId="6" stopIfTrue="1">
      <formula>IF(SS_Tout&lt;TS_Tout,TRUE,FALSE)</formula>
    </cfRule>
  </conditionalFormatting>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6:I51"/>
  <sheetViews>
    <sheetView zoomScalePageLayoutView="0" workbookViewId="0" topLeftCell="A1">
      <selection activeCell="A1" sqref="A1"/>
    </sheetView>
  </sheetViews>
  <sheetFormatPr defaultColWidth="9.140625" defaultRowHeight="12.75"/>
  <cols>
    <col min="2" max="2" width="28.421875" style="0" customWidth="1"/>
    <col min="3" max="3" width="10.00390625" style="0" customWidth="1"/>
    <col min="4" max="4" width="11.28125" style="0" bestFit="1" customWidth="1"/>
    <col min="6" max="6" width="13.140625" style="0" bestFit="1" customWidth="1"/>
  </cols>
  <sheetData>
    <row r="6" ht="12.75">
      <c r="A6" s="1" t="s">
        <v>1</v>
      </c>
    </row>
    <row r="7" spans="2:4" ht="12.75">
      <c r="B7" t="s">
        <v>508</v>
      </c>
      <c r="D7" s="45" t="s">
        <v>745</v>
      </c>
    </row>
    <row r="8" spans="2:4" ht="12.75">
      <c r="B8" t="s">
        <v>530</v>
      </c>
      <c r="C8" t="str">
        <f>INDEX(units_conv,4,units*2)</f>
        <v>Btu/h-ft²-°F</v>
      </c>
      <c r="D8" s="46">
        <v>520</v>
      </c>
    </row>
    <row r="9" spans="2:4" ht="12.75">
      <c r="B9" t="s">
        <v>882</v>
      </c>
      <c r="D9" s="216">
        <v>0.2</v>
      </c>
    </row>
    <row r="10" spans="2:4" ht="12.75">
      <c r="B10" t="s">
        <v>512</v>
      </c>
      <c r="C10" t="str">
        <f>CHOOSE(units,"in","mm")</f>
        <v>in</v>
      </c>
      <c r="D10" s="215">
        <v>0.75</v>
      </c>
    </row>
    <row r="11" spans="2:4" ht="12.75">
      <c r="B11" t="s">
        <v>519</v>
      </c>
      <c r="C11" t="s">
        <v>520</v>
      </c>
      <c r="D11" s="46">
        <v>14</v>
      </c>
    </row>
    <row r="12" spans="2:4" ht="12.75">
      <c r="B12" t="s">
        <v>537</v>
      </c>
      <c r="C12" t="str">
        <f>CHOOSE(units,"ft","m")</f>
        <v>ft</v>
      </c>
      <c r="D12" s="46">
        <v>14.999999999999998</v>
      </c>
    </row>
    <row r="13" spans="2:5" ht="12.75">
      <c r="B13" t="s">
        <v>561</v>
      </c>
      <c r="D13" s="46">
        <v>1</v>
      </c>
      <c r="E13">
        <f>IF(TubePasses&lt;ShellPasses,"Tube passes must be equal to or greater than shell passes",IF(INT(TubePasses/ShellPasses)&lt;&gt;TubePasses/ShellPasses,"Tube passes must be a multiple of the shell passes",""))</f>
      </c>
    </row>
    <row r="14" spans="2:4" ht="12.75">
      <c r="B14" t="s">
        <v>564</v>
      </c>
      <c r="D14" s="46">
        <v>1</v>
      </c>
    </row>
    <row r="16" ht="12.75">
      <c r="A16" s="1" t="s">
        <v>576</v>
      </c>
    </row>
    <row r="17" spans="2:4" ht="12.75">
      <c r="B17" t="s">
        <v>509</v>
      </c>
      <c r="C17" t="str">
        <f>INDEX(units_conv,15,units*2)</f>
        <v>lb/h</v>
      </c>
      <c r="D17" s="183">
        <f>CHOOSE(Tubes,SS_Flow,TS_Flow)</f>
        <v>1188000</v>
      </c>
    </row>
    <row r="18" spans="2:4" ht="12.75">
      <c r="B18" t="s">
        <v>532</v>
      </c>
      <c r="C18" t="str">
        <f>CHOOSE(units,"Btu/h","W")</f>
        <v>Btu/h</v>
      </c>
      <c r="D18" s="183">
        <f>CHOOSE(units,Q_US,Q_SI)</f>
        <v>5002748.415952985</v>
      </c>
    </row>
    <row r="19" spans="2:4" ht="12.75">
      <c r="B19" t="s">
        <v>562</v>
      </c>
      <c r="D19" s="188">
        <f>IF(ShellPasses=TubePasses,1,Ffactor)</f>
        <v>1</v>
      </c>
    </row>
    <row r="20" spans="2:4" ht="12.75">
      <c r="B20" t="s">
        <v>510</v>
      </c>
      <c r="C20" t="str">
        <f>CHOOSE(units,"cP","mPa-s")</f>
        <v>cP</v>
      </c>
      <c r="D20" s="8">
        <f>CHOOSE(Tubes,(SS_ViscosityIn+SS_ViscosityOut)/2,(TS_ViscosityIn+TS_ViscosityOut)/2)</f>
        <v>0.9881903519698576</v>
      </c>
    </row>
    <row r="21" spans="2:4" ht="12.75">
      <c r="B21" t="s">
        <v>511</v>
      </c>
      <c r="C21" t="str">
        <f>INDEX(units_conv,18,units*2)</f>
        <v>lb/ft3</v>
      </c>
      <c r="D21" s="8">
        <f>CHOOSE(Tubes,(SS_DensityIn+SS_DensityOut)/2,(TS_DensityIn+TS_DensityOut)/2)</f>
        <v>62.218911995115135</v>
      </c>
    </row>
    <row r="22" spans="2:4" ht="12.75">
      <c r="B22" t="s">
        <v>546</v>
      </c>
      <c r="C22" t="str">
        <f>INDEX(units_conv,14,units*2)</f>
        <v>psig</v>
      </c>
      <c r="D22" s="183">
        <f>CHOOSE(Tubes,SS_Pin,TS_Pin)</f>
        <v>60</v>
      </c>
    </row>
    <row r="23" spans="2:4" ht="12.75">
      <c r="B23" t="s">
        <v>547</v>
      </c>
      <c r="C23" t="str">
        <f>INDEX(units_conv,14,units*2)</f>
        <v>psig</v>
      </c>
      <c r="D23" s="183">
        <f>CHOOSE(Tubes,SS_PAllow,TS_PAllow)</f>
        <v>10</v>
      </c>
    </row>
    <row r="24" spans="2:4" ht="12.75">
      <c r="B24" t="s">
        <v>543</v>
      </c>
      <c r="C24" t="str">
        <f>CHOOSE(units,"ft","m")</f>
        <v>ft</v>
      </c>
      <c r="D24" s="219">
        <v>6.700000000000001E-06</v>
      </c>
    </row>
    <row r="26" ht="12.75">
      <c r="A26" s="1" t="s">
        <v>518</v>
      </c>
    </row>
    <row r="27" spans="2:4" ht="12.75">
      <c r="B27" t="s">
        <v>528</v>
      </c>
      <c r="C27" t="str">
        <f>CHOOSE(units,"in","mm")</f>
        <v>in</v>
      </c>
      <c r="D27" s="188">
        <f>TubeOD-VLOOKUP(D11,BWG,2)*CHOOSE(units,1,25.4)*2</f>
        <v>0.584</v>
      </c>
    </row>
    <row r="28" spans="2:4" ht="12.75">
      <c r="B28" t="s">
        <v>549</v>
      </c>
      <c r="C28" s="187" t="str">
        <f>INDEX(units_conv,13,units*2)</f>
        <v>ft²</v>
      </c>
      <c r="D28" s="225">
        <f>CHOOSE(units,PI()*((D27/12)/2)^2,PI()*((D27/1000)/2)^2)</f>
        <v>0.0018601719167755562</v>
      </c>
    </row>
    <row r="29" spans="2:4" ht="12.75">
      <c r="B29" t="s">
        <v>535</v>
      </c>
      <c r="C29" t="str">
        <f>CHOOSE(units,"ft²/ft","m²/m")</f>
        <v>ft²/ft</v>
      </c>
      <c r="D29" s="217">
        <f>CHOOSE(units,PI()*TubeOD/12,PI()*TubeOD/1000)</f>
        <v>0.19634954084936207</v>
      </c>
    </row>
    <row r="30" spans="2:4" ht="12.75">
      <c r="B30" t="s">
        <v>531</v>
      </c>
      <c r="C30" t="str">
        <f>CHOOSE(units,"°F","°C")</f>
        <v>°F</v>
      </c>
      <c r="D30" s="8">
        <f>IF(FR=1,SS_Tout-TS_Tin,((SS_Tin-TS_Tout)-(SS_Tout-TS_Tin))/LN((SS_Tin-TS_Tout)/(SS_Tout-TS_Tin)))</f>
        <v>12.741329152517334</v>
      </c>
    </row>
    <row r="31" spans="2:4" ht="12.75">
      <c r="B31" t="s">
        <v>563</v>
      </c>
      <c r="C31" t="str">
        <f>CHOOSE(units,"°F","°C")</f>
        <v>°F</v>
      </c>
      <c r="D31" s="8">
        <f>D30*D19</f>
        <v>12.741329152517334</v>
      </c>
    </row>
    <row r="32" spans="2:4" ht="12.75">
      <c r="B32" t="s">
        <v>534</v>
      </c>
      <c r="C32" t="str">
        <f>CHOOSE(units,"Btu/h","W")</f>
        <v>Btu/h</v>
      </c>
      <c r="D32" s="183">
        <f>D18*(1+D9)</f>
        <v>6003298.099143582</v>
      </c>
    </row>
    <row r="33" spans="2:4" ht="12.75">
      <c r="B33" t="s">
        <v>533</v>
      </c>
      <c r="C33" s="187" t="str">
        <f>INDEX(units_conv,3,units*2)</f>
        <v>ft²</v>
      </c>
      <c r="D33" s="184">
        <f>D32/(U_Assumed*D31)</f>
        <v>906.0910285434112</v>
      </c>
    </row>
    <row r="34" spans="2:4" ht="12.75">
      <c r="B34" t="s">
        <v>536</v>
      </c>
      <c r="C34" t="str">
        <f>CHOOSE(units,"ft","m")</f>
        <v>ft</v>
      </c>
      <c r="D34" s="183">
        <f>D33/D29</f>
        <v>4614.683714684913</v>
      </c>
    </row>
    <row r="35" spans="2:4" ht="12.75">
      <c r="B35" t="s">
        <v>538</v>
      </c>
      <c r="D35" s="183">
        <f>ROUND(D34/TubeLength/TubePasses+0.5,0)*TubePasses</f>
        <v>308</v>
      </c>
    </row>
    <row r="36" spans="2:4" ht="12.75">
      <c r="B36" t="s">
        <v>540</v>
      </c>
      <c r="D36" s="183">
        <f>D35/TubePasses</f>
        <v>308</v>
      </c>
    </row>
    <row r="37" spans="2:4" ht="12.75">
      <c r="B37" t="s">
        <v>539</v>
      </c>
      <c r="C37" s="187" t="str">
        <f>INDEX(units_conv,3,units*2)</f>
        <v>ft²</v>
      </c>
      <c r="D37" s="183">
        <f>D35*TubeLength*D29</f>
        <v>907.1348787240526</v>
      </c>
    </row>
    <row r="39" spans="2:4" ht="12.75">
      <c r="B39" t="s">
        <v>541</v>
      </c>
      <c r="C39" t="str">
        <f>INDEX(units_conv,15,units*2)</f>
        <v>lb/h</v>
      </c>
      <c r="D39" s="183">
        <f>D17/D36</f>
        <v>3857.1428571428573</v>
      </c>
    </row>
    <row r="40" spans="2:4" ht="12.75">
      <c r="B40" t="s">
        <v>548</v>
      </c>
      <c r="C40" t="str">
        <f>INDEX(units_conv,12,units*2)</f>
        <v>ft/s</v>
      </c>
      <c r="D40" s="5">
        <f>D39/3600/D28/D21</f>
        <v>9.257372246792148</v>
      </c>
    </row>
    <row r="41" spans="2:4" ht="12.75">
      <c r="B41" t="s">
        <v>542</v>
      </c>
      <c r="D41" s="183">
        <f>CHOOSE(units,NReUS(D39,D20,D27),NReSI(D39,D20,D27))</f>
        <v>42215.09431415531</v>
      </c>
    </row>
    <row r="42" spans="2:4" ht="12.75">
      <c r="B42" t="s">
        <v>544</v>
      </c>
      <c r="D42" s="217">
        <f>CHOOSE(units,FrictionUS(TubeRoughness,D41,D27),FrictionSI(TubeRoughness,D41,D27))</f>
        <v>0.02209530774133523</v>
      </c>
    </row>
    <row r="43" spans="2:4" ht="12.75">
      <c r="B43" t="s">
        <v>545</v>
      </c>
      <c r="C43" t="str">
        <f>INDEX(units_conv,14,units*2)</f>
        <v>psig</v>
      </c>
      <c r="D43" s="5">
        <f>D22-CHOOSE(units,PDUS(D39,D22,,D27,TubeLength*TubePasses,D42,D21),PDSI(D39,D22,,D27,TubeLength*TubePasses,D42,D21))</f>
        <v>3.9188625805058592</v>
      </c>
    </row>
    <row r="45" spans="2:4" ht="12.75">
      <c r="B45" t="s">
        <v>550</v>
      </c>
      <c r="C45" t="str">
        <f>CHOOSE(units,"ft fluid","m fluid")</f>
        <v>ft fluid</v>
      </c>
      <c r="D45" t="s">
        <v>551</v>
      </c>
    </row>
    <row r="46" spans="2:7" ht="12.75">
      <c r="B46" t="s">
        <v>552</v>
      </c>
      <c r="C46" t="str">
        <f>CHOOSE(units,"ft fluid","m fluid")</f>
        <v>ft fluid</v>
      </c>
      <c r="D46" s="8">
        <f>CHOOSE(units,1.5*(D40^2/(2*32.2)*TubePasses),1.5*D40^2/2*TubePasses)</f>
        <v>1.9960933443092586</v>
      </c>
      <c r="G46" s="5"/>
    </row>
    <row r="47" spans="2:4" ht="12.75">
      <c r="B47" t="s">
        <v>553</v>
      </c>
      <c r="C47" t="str">
        <f>CHOOSE(units,"ft fluid","m fluid")</f>
        <v>ft fluid</v>
      </c>
      <c r="D47" s="21">
        <f>CHOOSE(units,(D40^2/(2*32.2)*(TubePasses-1)),D40^2/2*(TubePasses-1))</f>
        <v>0</v>
      </c>
    </row>
    <row r="48" spans="2:4" ht="12.75">
      <c r="B48" t="s">
        <v>554</v>
      </c>
      <c r="C48" t="str">
        <f>CHOOSE(units,"ft fluid","m fluid")</f>
        <v>ft fluid</v>
      </c>
      <c r="D48" s="8">
        <f>SUM(D45:D47)</f>
        <v>1.9960933443092586</v>
      </c>
    </row>
    <row r="49" spans="3:9" ht="12.75">
      <c r="C49" t="str">
        <f>INDEX(units_conv,14,units*2)</f>
        <v>psig</v>
      </c>
      <c r="D49" s="8">
        <f>CHOOSE(units,D48*D21/144,D48*($D21/1000))</f>
        <v>0.8624635841917557</v>
      </c>
      <c r="G49" s="8"/>
      <c r="H49" s="8"/>
      <c r="I49" s="5"/>
    </row>
    <row r="51" spans="2:7" ht="12.75">
      <c r="B51" t="s">
        <v>555</v>
      </c>
      <c r="C51" t="str">
        <f>INDEX(units_conv,14,units*2)</f>
        <v>psig</v>
      </c>
      <c r="D51" s="218">
        <f>D43+D49</f>
        <v>4.781326164697615</v>
      </c>
      <c r="E51">
        <f>IF(D51&gt;D23,"&lt;-- Too High","")</f>
      </c>
      <c r="G51" s="5"/>
    </row>
  </sheetData>
  <sheetProtection/>
  <conditionalFormatting sqref="D19">
    <cfRule type="cellIs" priority="1" dxfId="6" operator="lessThan" stopIfTrue="1">
      <formula>0.75</formula>
    </cfRule>
  </conditionalFormatting>
  <dataValidations count="3">
    <dataValidation type="list" allowBlank="1" showInputMessage="1" showErrorMessage="1" sqref="D10">
      <formula1>TubeDiameters</formula1>
    </dataValidation>
    <dataValidation errorStyle="warning" type="whole" allowBlank="1" showInputMessage="1" showErrorMessage="1" error="Whole numbers from 12 to 18 expected - with higher values for small tubes and lower values for large tubes" sqref="D11">
      <formula1>GaugeMin</formula1>
      <formula2>GaugeMax</formula2>
    </dataValidation>
    <dataValidation type="list" allowBlank="1" showInputMessage="1" showErrorMessage="1" sqref="D7">
      <formula1>Fluid_names</formula1>
    </dataValidation>
  </dataValidations>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10"/>
  <dimension ref="A6:D39"/>
  <sheetViews>
    <sheetView zoomScalePageLayoutView="0" workbookViewId="0" topLeftCell="A1">
      <selection activeCell="A1" sqref="A1"/>
    </sheetView>
  </sheetViews>
  <sheetFormatPr defaultColWidth="9.140625" defaultRowHeight="12.75"/>
  <cols>
    <col min="1" max="1" width="9.140625" style="0" customWidth="1"/>
    <col min="2" max="2" width="20.140625" style="0" customWidth="1"/>
    <col min="3" max="3" width="12.28125" style="0" customWidth="1"/>
  </cols>
  <sheetData>
    <row r="6" ht="12.75">
      <c r="A6" s="1" t="s">
        <v>567</v>
      </c>
    </row>
    <row r="7" ht="12.75">
      <c r="A7" s="44" t="s">
        <v>493</v>
      </c>
    </row>
    <row r="8" spans="1:4" ht="12.75">
      <c r="A8" s="1"/>
      <c r="B8" s="2" t="s">
        <v>529</v>
      </c>
      <c r="D8" t="str">
        <f>SS_Name</f>
        <v>Distilled Water</v>
      </c>
    </row>
    <row r="9" spans="1:4" ht="12.75">
      <c r="A9" s="1"/>
      <c r="B9" s="2" t="s">
        <v>96</v>
      </c>
      <c r="C9" t="str">
        <f>CHOOSE(units,"°F","°C")</f>
        <v>°F</v>
      </c>
      <c r="D9" s="8">
        <f>SS_Tin</f>
        <v>89.6</v>
      </c>
    </row>
    <row r="10" spans="1:4" ht="12.75">
      <c r="A10" s="1"/>
      <c r="B10" s="2" t="s">
        <v>481</v>
      </c>
      <c r="C10" t="str">
        <f>CHOOSE(units,"°F","°C")</f>
        <v>°F</v>
      </c>
      <c r="D10" s="8">
        <f>SS_Tout</f>
        <v>77</v>
      </c>
    </row>
    <row r="11" ht="12.75">
      <c r="A11" s="1"/>
    </row>
    <row r="12" spans="1:2" ht="12.75">
      <c r="A12" s="44" t="s">
        <v>494</v>
      </c>
      <c r="B12" s="2"/>
    </row>
    <row r="13" spans="1:4" ht="12.75">
      <c r="A13" s="44"/>
      <c r="B13" s="2" t="s">
        <v>529</v>
      </c>
      <c r="D13" t="str">
        <f>TS_Name</f>
        <v>Raw Water</v>
      </c>
    </row>
    <row r="14" spans="1:4" ht="12.75">
      <c r="A14" s="44"/>
      <c r="B14" s="2" t="s">
        <v>96</v>
      </c>
      <c r="C14" t="str">
        <f>CHOOSE(units,"°F","°C")</f>
        <v>°F</v>
      </c>
      <c r="D14" s="8">
        <f>TS_Tin</f>
        <v>68</v>
      </c>
    </row>
    <row r="15" spans="1:4" ht="12.75">
      <c r="A15" s="44"/>
      <c r="B15" s="2" t="s">
        <v>481</v>
      </c>
      <c r="C15" t="str">
        <f>CHOOSE(units,"°F","°C")</f>
        <v>°F</v>
      </c>
      <c r="D15" s="8">
        <f>TS_Tout</f>
        <v>72.20124928377984</v>
      </c>
    </row>
    <row r="16" spans="1:2" ht="12.75">
      <c r="A16" s="44"/>
      <c r="B16" s="2"/>
    </row>
    <row r="17" spans="1:4" ht="12.75">
      <c r="A17" s="44"/>
      <c r="B17" s="2" t="s">
        <v>565</v>
      </c>
      <c r="D17" s="183">
        <f>TubePasses</f>
        <v>1</v>
      </c>
    </row>
    <row r="18" spans="1:4" ht="12.75">
      <c r="A18" s="44"/>
      <c r="B18" s="2" t="s">
        <v>566</v>
      </c>
      <c r="C18" t="s">
        <v>568</v>
      </c>
      <c r="D18" s="183">
        <f>ShellPasses</f>
        <v>1</v>
      </c>
    </row>
    <row r="19" ht="12.75">
      <c r="A19" s="44"/>
    </row>
    <row r="20" ht="12.75">
      <c r="A20" s="1" t="s">
        <v>518</v>
      </c>
    </row>
    <row r="21" spans="2:4" ht="12.75">
      <c r="B21" t="s">
        <v>556</v>
      </c>
      <c r="C21" t="s">
        <v>557</v>
      </c>
      <c r="D21" s="188">
        <f>(SS_Tin-SS_Tout)/(TS_Tout-TS_Tin)</f>
        <v>2.999107919790904</v>
      </c>
    </row>
    <row r="22" spans="2:4" ht="12.75">
      <c r="B22" t="s">
        <v>556</v>
      </c>
      <c r="C22" t="s">
        <v>558</v>
      </c>
      <c r="D22" s="188">
        <f>(TS_Tout-TS_Tin)/(SS_Tin-TS_Tin)</f>
        <v>0.19450228165647435</v>
      </c>
    </row>
    <row r="23" spans="2:4" ht="12.75">
      <c r="B23" t="s">
        <v>556</v>
      </c>
      <c r="C23" t="s">
        <v>569</v>
      </c>
      <c r="D23" s="188">
        <f>(FR^2+1)^0.5/(FR-1)</f>
        <v>1.58142106279602</v>
      </c>
    </row>
    <row r="24" spans="2:4" ht="12.75">
      <c r="B24" t="s">
        <v>556</v>
      </c>
      <c r="C24" t="s">
        <v>66</v>
      </c>
      <c r="D24" s="188">
        <f>((1-FP*FR)/(1-FP))^(1/ShellPasses)</f>
        <v>0.5172785188312207</v>
      </c>
    </row>
    <row r="25" spans="2:4" ht="12.75">
      <c r="B25" t="s">
        <v>556</v>
      </c>
      <c r="C25" t="s">
        <v>570</v>
      </c>
      <c r="D25" s="188">
        <f>(ShellPasses-ShellPasses*FP)/(ShellPasses-ShellPasses*FP+FP)</f>
        <v>0.8054977183435257</v>
      </c>
    </row>
    <row r="27" ht="12.75">
      <c r="A27" s="221" t="s">
        <v>571</v>
      </c>
    </row>
    <row r="28" spans="2:4" ht="12.75">
      <c r="B28" t="s">
        <v>559</v>
      </c>
      <c r="D28" s="188">
        <f>(FS*LN(FW))</f>
        <v>-1.0424313762571276</v>
      </c>
    </row>
    <row r="29" spans="2:4" ht="12.75">
      <c r="B29" t="s">
        <v>560</v>
      </c>
      <c r="D29" s="188">
        <f>LN((1+FW-FS+FS*FW)/(1+FW+FS-FS*FW))</f>
        <v>-1.106972180129684</v>
      </c>
    </row>
    <row r="30" ht="12.75">
      <c r="D30" s="188"/>
    </row>
    <row r="31" spans="2:4" ht="12.75">
      <c r="B31" t="s">
        <v>573</v>
      </c>
      <c r="C31" t="s">
        <v>8</v>
      </c>
      <c r="D31" s="222">
        <f>D28/D29</f>
        <v>0.9416960922495855</v>
      </c>
    </row>
    <row r="33" ht="12.75">
      <c r="A33" s="221" t="s">
        <v>572</v>
      </c>
    </row>
    <row r="34" spans="2:4" ht="12.75">
      <c r="B34" t="s">
        <v>559</v>
      </c>
      <c r="D34" s="188">
        <f>2^0.5*((1-FWA)/FWA)</f>
        <v>0.3414879500798136</v>
      </c>
    </row>
    <row r="35" spans="2:4" ht="12.75">
      <c r="B35" t="s">
        <v>560</v>
      </c>
      <c r="D35" s="188">
        <f>LN((FWA/(1-FWA)+(1/2^0.5))/((FWA/(1-FWA)-(1/2^0.5))))</f>
        <v>0.3448657584566488</v>
      </c>
    </row>
    <row r="37" spans="2:4" ht="12.75">
      <c r="B37" t="s">
        <v>574</v>
      </c>
      <c r="C37" t="s">
        <v>8</v>
      </c>
      <c r="D37" s="188">
        <f>D34/D35</f>
        <v>0.9902054399603148</v>
      </c>
    </row>
    <row r="39" spans="2:4" ht="12.75">
      <c r="B39" t="s">
        <v>575</v>
      </c>
      <c r="C39" t="s">
        <v>8</v>
      </c>
      <c r="D39" s="220">
        <f>IF(FR=1,D37,D31)</f>
        <v>0.9416960922495855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1"/>
  <dimension ref="A6:D44"/>
  <sheetViews>
    <sheetView zoomScalePageLayoutView="0" workbookViewId="0" topLeftCell="A1">
      <selection activeCell="A1" sqref="A1"/>
    </sheetView>
  </sheetViews>
  <sheetFormatPr defaultColWidth="9.140625" defaultRowHeight="12.75"/>
  <cols>
    <col min="2" max="2" width="28.00390625" style="0" customWidth="1"/>
    <col min="3" max="3" width="10.00390625" style="0" customWidth="1"/>
    <col min="4" max="4" width="10.28125" style="0" bestFit="1" customWidth="1"/>
  </cols>
  <sheetData>
    <row r="6" spans="1:4" ht="12.75">
      <c r="A6" s="1" t="s">
        <v>1</v>
      </c>
      <c r="B6" t="s">
        <v>508</v>
      </c>
      <c r="D6" t="str">
        <f>CHOOSE(Tubes,SS_Name,TS_Name)</f>
        <v>Raw Water</v>
      </c>
    </row>
    <row r="7" spans="2:4" ht="12.75">
      <c r="B7" t="s">
        <v>584</v>
      </c>
      <c r="C7" t="str">
        <f>INDEX(units_conv,4,units*2)</f>
        <v>Btu/h-ft²-°F</v>
      </c>
      <c r="D7" s="46">
        <v>1056.6612</v>
      </c>
    </row>
    <row r="10" ht="12.75">
      <c r="A10" s="1" t="s">
        <v>600</v>
      </c>
    </row>
    <row r="11" spans="2:4" ht="12.75">
      <c r="B11" t="s">
        <v>530</v>
      </c>
      <c r="C11" t="str">
        <f>INDEX(units_conv,4,units*2)</f>
        <v>Btu/h-ft²-°F</v>
      </c>
      <c r="D11" s="223">
        <f>U_Assumed</f>
        <v>520</v>
      </c>
    </row>
    <row r="12" spans="2:4" ht="12.75">
      <c r="B12" t="s">
        <v>577</v>
      </c>
      <c r="C12" s="187" t="str">
        <f>INDEX(units_conv,13,units*2)</f>
        <v>ft²</v>
      </c>
      <c r="D12" s="223">
        <f>A_Outside</f>
        <v>907.1348787240526</v>
      </c>
    </row>
    <row r="13" spans="2:4" ht="12.75">
      <c r="B13" t="s">
        <v>578</v>
      </c>
      <c r="C13" t="str">
        <f>CHOOSE(units,"in","mm")</f>
        <v>in</v>
      </c>
      <c r="D13" s="188">
        <f>TubeOD</f>
        <v>0.75</v>
      </c>
    </row>
    <row r="14" spans="2:4" ht="12.75">
      <c r="B14" t="s">
        <v>528</v>
      </c>
      <c r="C14" t="str">
        <f>CHOOSE(units,"in","mm")</f>
        <v>in</v>
      </c>
      <c r="D14" s="188">
        <f>TubeID</f>
        <v>0.584</v>
      </c>
    </row>
    <row r="15" spans="3:4" ht="12.75">
      <c r="C15" t="str">
        <f>CHOOSE(units,"ft","m")</f>
        <v>ft</v>
      </c>
      <c r="D15" s="188">
        <f>CHOOSE(units,D14/12,D14/1000)</f>
        <v>0.048666666666666664</v>
      </c>
    </row>
    <row r="16" spans="2:4" ht="12.75">
      <c r="B16" t="s">
        <v>596</v>
      </c>
      <c r="C16" t="str">
        <f>CHOOSE(units,"ft","m")</f>
        <v>ft</v>
      </c>
      <c r="D16" s="8">
        <f>TubeLength*'Tubes Pressure Drop'!D35/TubePasses</f>
        <v>4619.999999999999</v>
      </c>
    </row>
    <row r="17" spans="2:4" ht="12.75">
      <c r="B17" t="s">
        <v>591</v>
      </c>
      <c r="C17" t="s">
        <v>4</v>
      </c>
      <c r="D17" s="5">
        <f>'Tubes Pressure Drop'!D20</f>
        <v>0.9881903519698576</v>
      </c>
    </row>
    <row r="18" spans="2:4" ht="12.75">
      <c r="B18" t="s">
        <v>589</v>
      </c>
      <c r="C18" t="s">
        <v>4</v>
      </c>
      <c r="D18" s="8">
        <f>CHOOSE(Tubes,SS_WallViscosity,TS_WallViscosity)</f>
        <v>0.9264498888895999</v>
      </c>
    </row>
    <row r="19" spans="2:4" ht="12.75">
      <c r="B19" t="s">
        <v>593</v>
      </c>
      <c r="C19" s="187" t="str">
        <f>INDEX(units_conv,10,units*2)</f>
        <v>Btu/lb-°F</v>
      </c>
      <c r="D19" s="5">
        <f>CHOOSE(Tubes,(SS_CpIn+SS_CpOut)/2,(TS_CpIn+TS_CpOut)/2)</f>
        <v>1.0023370206700606</v>
      </c>
    </row>
    <row r="20" spans="2:4" ht="12.75">
      <c r="B20" t="s">
        <v>594</v>
      </c>
      <c r="C20" s="187" t="str">
        <f>INDEX(units_conv,5,units*2)</f>
        <v>Btu/h-ft-°F</v>
      </c>
      <c r="D20" s="5">
        <f>CHOOSE(Tubes,(SS_TCIn+SS_TcOut)/2,(TS_TcIn+TS_TCOut)/2)</f>
        <v>0.3430787703830785</v>
      </c>
    </row>
    <row r="21" spans="2:4" ht="12.75">
      <c r="B21" t="s">
        <v>542</v>
      </c>
      <c r="D21" s="183">
        <f>'Tubes Pressure Drop'!D41</f>
        <v>42215.09431415531</v>
      </c>
    </row>
    <row r="22" ht="12.75">
      <c r="D22" s="5"/>
    </row>
    <row r="24" ht="12.75">
      <c r="A24" s="1" t="s">
        <v>518</v>
      </c>
    </row>
    <row r="25" spans="2:4" ht="12.75">
      <c r="B25" t="s">
        <v>579</v>
      </c>
      <c r="C25" s="187" t="str">
        <f>INDEX(units_conv,13,units*2)</f>
        <v>ft²</v>
      </c>
      <c r="D25" s="8">
        <f>D14/D13*D12</f>
        <v>706.3556922331289</v>
      </c>
    </row>
    <row r="26" spans="2:4" ht="12.75">
      <c r="B26" t="s">
        <v>580</v>
      </c>
      <c r="C26" t="str">
        <f>INDEX(units_conv,4,units*2)</f>
        <v>Btu/h-ft²-°F</v>
      </c>
      <c r="D26" s="8">
        <f>D13/D14*D11</f>
        <v>667.8082191780823</v>
      </c>
    </row>
    <row r="27" spans="2:4" ht="12.75">
      <c r="B27" t="s">
        <v>581</v>
      </c>
      <c r="C27" t="str">
        <f>CHOOSE(units,"°F","°C")</f>
        <v>°F</v>
      </c>
      <c r="D27" s="8">
        <f>CHOOSE(Tubes,(SS_Tin+SS_Tout)/2,(TS_Tin+TS_Tout)/2)</f>
        <v>70.10062464188992</v>
      </c>
    </row>
    <row r="28" spans="2:4" ht="12.75">
      <c r="B28" t="s">
        <v>582</v>
      </c>
      <c r="C28" t="str">
        <f>CHOOSE(units,"°F","°C")</f>
        <v>°F</v>
      </c>
      <c r="D28" s="8">
        <f>CHOOSE(Tubes,(TS_Tin+TS_Tout)/2,(SS_Tin+SS_Tout)/2)</f>
        <v>83.3</v>
      </c>
    </row>
    <row r="29" spans="2:4" ht="12.75">
      <c r="B29" t="s">
        <v>583</v>
      </c>
      <c r="C29" t="str">
        <f>CHOOSE(units,"°F","°C")</f>
        <v>°F</v>
      </c>
      <c r="D29" s="8">
        <f>D28+(D26/TS_htc_assumed)*(D27-D28)</f>
        <v>74.95801549998944</v>
      </c>
    </row>
    <row r="30" spans="3:4" ht="12.75">
      <c r="C30" t="s">
        <v>21</v>
      </c>
      <c r="D30" s="8">
        <f>CHOOSE(units,(D29-32)/1.8,D29)</f>
        <v>23.8655641666608</v>
      </c>
    </row>
    <row r="31" spans="2:4" ht="12.75">
      <c r="B31" t="s">
        <v>590</v>
      </c>
      <c r="D31" s="8">
        <f>(D17/D18)^0.14</f>
        <v>1.009073066933435</v>
      </c>
    </row>
    <row r="32" spans="2:4" ht="12.75">
      <c r="B32" t="s">
        <v>592</v>
      </c>
      <c r="D32" s="5">
        <f>CHOOSE(units,D19*D17/D20*2.419,D19*D17/D20)</f>
        <v>6.983874137162216</v>
      </c>
    </row>
    <row r="34" ht="12.75">
      <c r="A34" s="221" t="s">
        <v>595</v>
      </c>
    </row>
    <row r="35" spans="2:4" ht="12.75">
      <c r="B35" t="s">
        <v>597</v>
      </c>
      <c r="C35" t="str">
        <f>INDEX(units_conv,4,units*2)</f>
        <v>Btu/h-ft²-°F</v>
      </c>
      <c r="D35" s="183">
        <f>D20/D15*(3.66+(0.0668*D21*D32*(D15/D16)/(1+0.4*(D21*D32*(D15/D16))^(2/3))))*D31</f>
        <v>26.832580660098337</v>
      </c>
    </row>
    <row r="37" ht="12.75">
      <c r="A37" s="221" t="s">
        <v>598</v>
      </c>
    </row>
    <row r="38" spans="2:4" ht="12.75">
      <c r="B38" t="s">
        <v>597</v>
      </c>
      <c r="C38" t="str">
        <f>INDEX(units_conv,4,units*2)</f>
        <v>Btu/h-ft²-°F</v>
      </c>
      <c r="D38" s="183">
        <f>0.023*(D20/D15)*D21^0.8*D32^(1/3)*D31</f>
        <v>1568.745068307157</v>
      </c>
    </row>
    <row r="40" ht="12.75">
      <c r="A40" s="221" t="s">
        <v>599</v>
      </c>
    </row>
    <row r="41" spans="2:4" ht="12.75">
      <c r="B41" t="s">
        <v>597</v>
      </c>
      <c r="C41" t="str">
        <f>INDEX(units_conv,4,units*2)</f>
        <v>Btu/h-ft²-°F</v>
      </c>
      <c r="D41" s="183">
        <f>D35+(D38-D35)*(D21-2000)/8000</f>
        <v>7777.852095022636</v>
      </c>
    </row>
    <row r="43" ht="12.75">
      <c r="A43" s="221" t="s">
        <v>575</v>
      </c>
    </row>
    <row r="44" spans="2:4" ht="12.75">
      <c r="B44" t="s">
        <v>597</v>
      </c>
      <c r="C44" t="str">
        <f>INDEX(units_conv,4,units*2)</f>
        <v>Btu/h-ft²-°F</v>
      </c>
      <c r="D44" s="224">
        <f>IF(D21&lt;=2000,D35,IF(D21&gt;=10000,D38,D41))</f>
        <v>1568.745068307157</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12"/>
  <dimension ref="A6:E33"/>
  <sheetViews>
    <sheetView zoomScalePageLayoutView="0" workbookViewId="0" topLeftCell="A1">
      <selection activeCell="G25" sqref="G25"/>
    </sheetView>
  </sheetViews>
  <sheetFormatPr defaultColWidth="9.140625" defaultRowHeight="12.75"/>
  <cols>
    <col min="2" max="2" width="37.421875" style="0" customWidth="1"/>
    <col min="4" max="4" width="10.28125" style="0" customWidth="1"/>
  </cols>
  <sheetData>
    <row r="6" ht="12.75">
      <c r="A6" s="1" t="s">
        <v>1</v>
      </c>
    </row>
    <row r="7" spans="2:4" ht="12.75">
      <c r="B7" t="s">
        <v>603</v>
      </c>
      <c r="D7" s="46">
        <v>1</v>
      </c>
    </row>
    <row r="8" spans="2:5" ht="12.75">
      <c r="B8" t="s">
        <v>605</v>
      </c>
      <c r="C8" t="str">
        <f>CHOOSE(units,"in","mm")</f>
        <v>in</v>
      </c>
      <c r="D8" s="240">
        <v>21.25</v>
      </c>
      <c r="E8" t="str">
        <f>IF(Shell_ID&lt;D30,"&lt;-- Minimum diameter is "&amp;TEXT(D30,"#.#")&amp;" "&amp;C29,"")</f>
        <v>&lt;-- Minimum diameter is 23.3 in</v>
      </c>
    </row>
    <row r="9" spans="2:5" ht="12.75">
      <c r="B9" t="s">
        <v>877</v>
      </c>
      <c r="C9" t="str">
        <f>CHOOSE(units,"in","mm")</f>
        <v>in</v>
      </c>
      <c r="D9" s="240">
        <v>19</v>
      </c>
      <c r="E9">
        <f>IF(TubeBundle_OD&gt;=Shell_ID-TubeOD/2,"&lt;-- Too large","")</f>
      </c>
    </row>
    <row r="10" spans="2:4" ht="12.75">
      <c r="B10" t="s">
        <v>606</v>
      </c>
      <c r="C10" t="s">
        <v>610</v>
      </c>
      <c r="D10" s="240">
        <v>0.25</v>
      </c>
    </row>
    <row r="11" spans="2:4" ht="12.75">
      <c r="B11" t="s">
        <v>607</v>
      </c>
      <c r="C11" t="str">
        <f>CHOOSE(units,"in","mm")</f>
        <v>in</v>
      </c>
      <c r="D11" s="240">
        <v>10</v>
      </c>
    </row>
    <row r="12" spans="2:4" ht="12.75">
      <c r="B12" t="s">
        <v>701</v>
      </c>
      <c r="C12" t="str">
        <f>CHOOSE(units,"in","mm")</f>
        <v>in</v>
      </c>
      <c r="D12" s="240">
        <v>20.999999999999996</v>
      </c>
    </row>
    <row r="13" spans="2:4" ht="12.75">
      <c r="B13" t="s">
        <v>608</v>
      </c>
      <c r="D13" s="46">
        <v>2</v>
      </c>
    </row>
    <row r="14" spans="2:4" ht="12.75">
      <c r="B14" t="s">
        <v>615</v>
      </c>
      <c r="D14" s="46">
        <v>90</v>
      </c>
    </row>
    <row r="15" spans="2:4" ht="12.75">
      <c r="B15" t="s">
        <v>616</v>
      </c>
      <c r="D15" s="215">
        <v>1.33</v>
      </c>
    </row>
    <row r="17" ht="12.75">
      <c r="A17" s="1" t="s">
        <v>915</v>
      </c>
    </row>
    <row r="18" spans="2:4" ht="12.75">
      <c r="B18" t="s">
        <v>602</v>
      </c>
      <c r="C18" t="s">
        <v>568</v>
      </c>
      <c r="D18">
        <f>'Tubes Pressure Drop'!D35/'Shell Geometry'!D7</f>
        <v>308</v>
      </c>
    </row>
    <row r="19" spans="2:4" ht="12.75">
      <c r="B19" t="s">
        <v>604</v>
      </c>
      <c r="C19" t="str">
        <f>CHOOSE(units,"in","mm")</f>
        <v>in</v>
      </c>
      <c r="D19">
        <f>TubeOD</f>
        <v>0.75</v>
      </c>
    </row>
    <row r="20" spans="2:4" ht="12.75">
      <c r="B20" t="s">
        <v>537</v>
      </c>
      <c r="C20" t="str">
        <f>CHOOSE(units,"ft","m")</f>
        <v>ft</v>
      </c>
      <c r="D20">
        <f>TubeLength</f>
        <v>14.999999999999998</v>
      </c>
    </row>
    <row r="21" spans="2:4" ht="12.75">
      <c r="B21" t="s">
        <v>565</v>
      </c>
      <c r="D21">
        <f>TubePasses</f>
        <v>1</v>
      </c>
    </row>
    <row r="23" ht="12.75">
      <c r="A23" s="1" t="s">
        <v>518</v>
      </c>
    </row>
    <row r="24" spans="1:4" ht="12.75">
      <c r="A24" s="1"/>
      <c r="B24" t="s">
        <v>614</v>
      </c>
      <c r="C24" t="str">
        <f>CHOOSE(units,"in","mm")</f>
        <v>in</v>
      </c>
      <c r="D24" s="8">
        <f>D15*D19</f>
        <v>0.9975</v>
      </c>
    </row>
    <row r="25" spans="1:4" ht="12.75">
      <c r="A25" s="1"/>
      <c r="B25" t="s">
        <v>827</v>
      </c>
      <c r="C25" t="str">
        <f>CHOOSE(units,"in","mm")</f>
        <v>in</v>
      </c>
      <c r="D25" s="8">
        <f>VLOOKUP(TubePitchLayout,Pitch_Spacing,2)*TubePitch</f>
        <v>0.9975</v>
      </c>
    </row>
    <row r="26" spans="1:4" ht="12.75">
      <c r="A26" s="1"/>
      <c r="B26" t="s">
        <v>621</v>
      </c>
      <c r="C26" s="187" t="str">
        <f>CHOOSE(units,"in2","mm2")</f>
        <v>in2</v>
      </c>
      <c r="D26" s="8">
        <f>IF(OR(D14=30,D14=60),(D24^2*3^0.5/4)*2,D24^2)</f>
        <v>0.9950062500000001</v>
      </c>
    </row>
    <row r="27" spans="1:4" ht="12.75">
      <c r="A27" s="1"/>
      <c r="B27" t="s">
        <v>622</v>
      </c>
      <c r="C27" t="str">
        <f>CHOOSE(units,"in2","mm2")</f>
        <v>in2</v>
      </c>
      <c r="D27" s="183">
        <f>D26*D18</f>
        <v>306.461925</v>
      </c>
    </row>
    <row r="28" spans="1:4" ht="12.75">
      <c r="A28" s="1"/>
      <c r="B28" t="s">
        <v>658</v>
      </c>
      <c r="C28" t="str">
        <f>CHOOSE(units,"in2","mm2")</f>
        <v>in2</v>
      </c>
      <c r="D28" s="183">
        <f>2*(D27/PI())^0.5*TubeOD*(TubePasses-1)+D27</f>
        <v>306.461925</v>
      </c>
    </row>
    <row r="29" spans="1:4" ht="12.75">
      <c r="A29" s="1"/>
      <c r="B29" t="s">
        <v>659</v>
      </c>
      <c r="C29" t="str">
        <f>CHOOSE(units,"in","mm")</f>
        <v>in</v>
      </c>
      <c r="D29" s="8">
        <f>2*(D28/PI())^0.5+2*TubeOD</f>
        <v>21.253466578442925</v>
      </c>
    </row>
    <row r="30" spans="1:4" ht="12.75">
      <c r="A30" s="1"/>
      <c r="B30" t="s">
        <v>660</v>
      </c>
      <c r="C30" t="str">
        <f>CHOOSE(units,"in","mm")</f>
        <v>in</v>
      </c>
      <c r="D30" s="8">
        <f>VLOOKUP(D29,ShellSizes,2)</f>
        <v>23.25</v>
      </c>
    </row>
    <row r="31" spans="1:4" ht="12.75">
      <c r="A31" s="1"/>
      <c r="B31" t="s">
        <v>657</v>
      </c>
      <c r="C31" t="str">
        <f>CHOOSE(units,"in","mm")</f>
        <v>in</v>
      </c>
      <c r="D31" s="8">
        <f>CHOOSE(units,74*TubeOD^0.75,(74*(TubeOD/25.4)^0.75)*25.4)</f>
        <v>59.638631216206576</v>
      </c>
    </row>
    <row r="32" spans="1:4" ht="12.75">
      <c r="A32" s="1"/>
      <c r="B32" t="s">
        <v>831</v>
      </c>
      <c r="D32" s="5">
        <f>0.8*Shell_ID*BaffleCut/D25</f>
        <v>4.260651629072681</v>
      </c>
    </row>
    <row r="33" spans="2:4" ht="12.75">
      <c r="B33" t="s">
        <v>832</v>
      </c>
      <c r="D33" s="183">
        <f>INT(D20/(BaffleSpacing*CHOOSE(units,1/12,1/1000)))-1-MOD(INT(D20/(BaffleSpacing*CHOOSE(units,1/12,1/1000)))-1,2)</f>
        <v>16</v>
      </c>
    </row>
  </sheetData>
  <sheetProtection/>
  <dataValidations count="5">
    <dataValidation type="decimal" allowBlank="1" showInputMessage="1" showErrorMessage="1" errorTitle="Baffle Spacing" error="Minimum baffle spacing is generally 50 mm (2 inches) or one-fifth the shell diameter; Maximum baffle spacing is one-half the maximum unsupported tube length if tubes pass through the baffle window." sqref="D11">
      <formula1>CHOOSE(units,MAX(2,Shell_ID/5),MAX(50,Shell_ID/5))</formula1>
      <formula2>D31/2</formula2>
    </dataValidation>
    <dataValidation type="list" allowBlank="1" showInputMessage="1" showErrorMessage="1" sqref="D14">
      <formula1>PitchLayouts</formula1>
    </dataValidation>
    <dataValidation type="list" allowBlank="1" showInputMessage="1" showErrorMessage="1" sqref="D15">
      <formula1>"1.25,1.285,1.33,1.5"</formula1>
    </dataValidation>
    <dataValidation type="decimal" allowBlank="1" showInputMessage="1" showErrorMessage="1" sqref="D10">
      <formula1>0.05</formula1>
      <formula2>0.5</formula2>
    </dataValidation>
    <dataValidation type="decimal" allowBlank="1" showInputMessage="1" showErrorMessage="1" errorTitle="Baffle Diameter" sqref="D12">
      <formula1>0.8*Shell_ID</formula1>
      <formula2>Shell_ID</formula2>
    </dataValidation>
  </dataValidations>
  <printOptions/>
  <pageMargins left="0.75" right="0.75" top="1" bottom="1" header="0.5" footer="0.5"/>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codeName="Sheet15"/>
  <dimension ref="A6:L101"/>
  <sheetViews>
    <sheetView zoomScalePageLayoutView="0" workbookViewId="0" topLeftCell="A1">
      <selection activeCell="A1" sqref="A1"/>
    </sheetView>
  </sheetViews>
  <sheetFormatPr defaultColWidth="9.140625" defaultRowHeight="12.75"/>
  <cols>
    <col min="2" max="2" width="37.28125" style="0" customWidth="1"/>
    <col min="3" max="3" width="10.57421875" style="0" customWidth="1"/>
    <col min="4" max="4" width="15.140625" style="0" customWidth="1"/>
    <col min="5" max="5" width="10.28125" style="0" bestFit="1" customWidth="1"/>
    <col min="6" max="6" width="9.7109375" style="0" bestFit="1" customWidth="1"/>
    <col min="8" max="8" width="15.28125" style="0" customWidth="1"/>
    <col min="9" max="9" width="13.28125" style="0" customWidth="1"/>
    <col min="10" max="10" width="9.28125" style="0" bestFit="1" customWidth="1"/>
    <col min="11" max="11" width="12.7109375" style="0" customWidth="1"/>
  </cols>
  <sheetData>
    <row r="6" spans="1:4" ht="12.75">
      <c r="A6" s="1" t="s">
        <v>1</v>
      </c>
      <c r="B6" t="s">
        <v>668</v>
      </c>
      <c r="D6" t="str">
        <f>CHOOSE(Tubes,TS_Name,SS_Name)</f>
        <v>Distilled Water</v>
      </c>
    </row>
    <row r="7" spans="1:4" ht="12.75">
      <c r="A7" s="1"/>
      <c r="B7" t="s">
        <v>685</v>
      </c>
      <c r="C7" t="str">
        <f>INDEX(units_conv,4,units*2)</f>
        <v>Btu/h-ft²-°F</v>
      </c>
      <c r="D7" s="46">
        <v>704.4408</v>
      </c>
    </row>
    <row r="8" spans="1:4" ht="12.75">
      <c r="A8" s="1"/>
      <c r="B8" t="s">
        <v>727</v>
      </c>
      <c r="D8" s="240">
        <v>0.03125</v>
      </c>
    </row>
    <row r="9" ht="12.75">
      <c r="A9" s="1"/>
    </row>
    <row r="10" ht="12.75">
      <c r="A10" s="1" t="s">
        <v>601</v>
      </c>
    </row>
    <row r="11" spans="1:4" ht="12.75">
      <c r="A11" s="1"/>
      <c r="B11" t="s">
        <v>509</v>
      </c>
      <c r="C11" t="str">
        <f>INDEX(units_conv,15,units*2)</f>
        <v>lb/h</v>
      </c>
      <c r="D11" s="183">
        <f>CHOOSE(Tubes,TS_Flow,SS_Flow)</f>
        <v>396000.00000000006</v>
      </c>
    </row>
    <row r="12" spans="1:4" ht="12.75">
      <c r="A12" s="1"/>
      <c r="C12" t="str">
        <f>CHOOSE(units,"lb/s","kg/s")</f>
        <v>lb/s</v>
      </c>
      <c r="D12" s="8">
        <f>D11/3600</f>
        <v>110.00000000000001</v>
      </c>
    </row>
    <row r="13" spans="1:4" ht="12.75">
      <c r="A13" s="1"/>
      <c r="B13" t="s">
        <v>530</v>
      </c>
      <c r="C13" t="str">
        <f>INDEX(units_conv,4,units*2)</f>
        <v>Btu/h-ft²-°F</v>
      </c>
      <c r="D13" s="223">
        <f>U_Assumed</f>
        <v>520</v>
      </c>
    </row>
    <row r="14" spans="1:4" ht="12.75">
      <c r="A14" s="1"/>
      <c r="B14" t="s">
        <v>577</v>
      </c>
      <c r="C14" s="187" t="str">
        <f>INDEX(units_conv,13,units*2)</f>
        <v>ft²</v>
      </c>
      <c r="D14" s="223">
        <f>A_Outside</f>
        <v>907.1348787240526</v>
      </c>
    </row>
    <row r="15" spans="1:4" ht="12.75">
      <c r="A15" s="1"/>
      <c r="B15" t="s">
        <v>578</v>
      </c>
      <c r="C15" t="str">
        <f>CHOOSE(units,"in","mm")</f>
        <v>in</v>
      </c>
      <c r="D15" s="188">
        <f>TubeOD</f>
        <v>0.75</v>
      </c>
    </row>
    <row r="16" spans="1:4" ht="12.75">
      <c r="A16" s="1"/>
      <c r="C16" t="str">
        <f>CHOOSE(units,"ft","m")</f>
        <v>ft</v>
      </c>
      <c r="D16" s="188">
        <f>CHOOSE(units,D15/12,D15/1000)</f>
        <v>0.0625</v>
      </c>
    </row>
    <row r="17" spans="1:4" ht="12.75">
      <c r="A17" s="1"/>
      <c r="B17" t="s">
        <v>602</v>
      </c>
      <c r="C17" t="s">
        <v>568</v>
      </c>
      <c r="D17" s="183">
        <f>'Tubes Pressure Drop'!D35/'Shell Geometry'!D7</f>
        <v>308</v>
      </c>
    </row>
    <row r="18" spans="1:4" ht="12.75">
      <c r="A18" s="1"/>
      <c r="B18" t="s">
        <v>589</v>
      </c>
      <c r="C18" t="s">
        <v>4</v>
      </c>
      <c r="D18" s="8">
        <f>CHOOSE(Tubes,TS_WallViscosity,SS_WallViscosity)</f>
        <v>0.9264498888895999</v>
      </c>
    </row>
    <row r="19" spans="1:4" ht="12.75">
      <c r="A19" s="1"/>
      <c r="B19" t="s">
        <v>663</v>
      </c>
      <c r="C19" t="s">
        <v>4</v>
      </c>
      <c r="D19" s="8">
        <f>CHOOSE(Tubes,(TS_ViscosityIn+TS_ViscosityOut)/2,(SS_ViscosityIn+SS_ViscosityOut)/2)</f>
        <v>0.8382955673876922</v>
      </c>
    </row>
    <row r="20" spans="1:4" ht="12.75">
      <c r="A20" s="1"/>
      <c r="C20" t="str">
        <f>CHOOSE(units,"lb/ft-s","kg/m-s")</f>
        <v>lb/ft-s</v>
      </c>
      <c r="D20" s="225">
        <f>CHOOSE(units,D19*2.419/3600,D19/1000)</f>
        <v>0.0005632880493085632</v>
      </c>
    </row>
    <row r="21" spans="1:4" ht="12.75">
      <c r="A21" s="1"/>
      <c r="B21" t="s">
        <v>667</v>
      </c>
      <c r="C21" t="s">
        <v>4</v>
      </c>
      <c r="D21" s="8">
        <f>CHOOSE(Tubes,TS_WallViscosityShell,SS_WallViscosityShell)</f>
        <v>0.9434695161086011</v>
      </c>
    </row>
    <row r="22" spans="1:4" ht="12.75">
      <c r="A22" s="1"/>
      <c r="B22" t="s">
        <v>664</v>
      </c>
      <c r="C22" s="187" t="str">
        <f>INDEX(units_conv,10,units*2)</f>
        <v>Btu/lb-°F</v>
      </c>
      <c r="D22" s="5">
        <f>CHOOSE(Tubes,(TS_CpIn+TS_CpOut)/2,(SS_CpIn+SS_CpOut)/2)</f>
        <v>1.0026351643324463</v>
      </c>
    </row>
    <row r="23" spans="1:4" ht="12.75">
      <c r="A23" s="1"/>
      <c r="B23" t="s">
        <v>665</v>
      </c>
      <c r="C23" s="187" t="str">
        <f>INDEX(units_conv,5,units*2)</f>
        <v>Btu/h-ft-°F</v>
      </c>
      <c r="D23" s="5">
        <f>CHOOSE(Tubes,(TS_TcIn+TS_TCOut)/2,(SS_TCIn+SS_TcOut)/2)</f>
        <v>0.34805789310451773</v>
      </c>
    </row>
    <row r="24" spans="1:4" ht="12.75">
      <c r="A24" s="1"/>
      <c r="C24" s="187" t="str">
        <f>CHOOSE(units,"Btu/s-ft-F","J/s-m-C")</f>
        <v>Btu/s-ft-F</v>
      </c>
      <c r="D24" s="381">
        <f>CHOOSE(units,D23/3600,D23/1000)</f>
        <v>9.668274808458826E-05</v>
      </c>
    </row>
    <row r="25" spans="1:4" ht="12.75">
      <c r="A25" s="1"/>
      <c r="B25" t="s">
        <v>605</v>
      </c>
      <c r="C25" t="str">
        <f>CHOOSE(units,"in","mm")</f>
        <v>in</v>
      </c>
      <c r="D25" s="238">
        <f>Shell_ID</f>
        <v>21.25</v>
      </c>
    </row>
    <row r="26" spans="1:4" ht="12.75">
      <c r="A26" s="1"/>
      <c r="B26" t="s">
        <v>874</v>
      </c>
      <c r="C26" t="str">
        <f>CHOOSE(units,"in","mm")</f>
        <v>in</v>
      </c>
      <c r="D26" s="238">
        <f>TubeBundle_OD</f>
        <v>19</v>
      </c>
    </row>
    <row r="27" spans="1:4" ht="12.75">
      <c r="A27" s="1"/>
      <c r="B27" t="s">
        <v>687</v>
      </c>
      <c r="D27" s="8">
        <f>BaffleCut</f>
        <v>0.25</v>
      </c>
    </row>
    <row r="28" spans="1:4" ht="12.75">
      <c r="A28" s="1"/>
      <c r="B28" t="s">
        <v>607</v>
      </c>
      <c r="C28" t="str">
        <f>CHOOSE(units,"in","mm")</f>
        <v>in</v>
      </c>
      <c r="D28" s="8">
        <f>BaffleSpacing</f>
        <v>10</v>
      </c>
    </row>
    <row r="29" spans="1:5" ht="12.75">
      <c r="A29" s="1"/>
      <c r="B29" t="s">
        <v>682</v>
      </c>
      <c r="D29" s="183">
        <f>TubePitchLayout</f>
        <v>90</v>
      </c>
      <c r="E29" s="183"/>
    </row>
    <row r="30" spans="1:8" ht="12.75">
      <c r="A30" s="1"/>
      <c r="B30" t="s">
        <v>684</v>
      </c>
      <c r="D30" s="8">
        <f>TubePitchRatio</f>
        <v>1.33</v>
      </c>
      <c r="H30" s="5"/>
    </row>
    <row r="31" spans="1:8" ht="12.75">
      <c r="A31" s="1"/>
      <c r="B31" t="s">
        <v>747</v>
      </c>
      <c r="C31" t="str">
        <f>CHOOSE(units,"in","mm")</f>
        <v>in</v>
      </c>
      <c r="D31" s="8">
        <f>TubePitch</f>
        <v>0.9975</v>
      </c>
      <c r="H31" s="5"/>
    </row>
    <row r="32" spans="1:8" ht="12.75">
      <c r="A32" s="1"/>
      <c r="B32" t="s">
        <v>875</v>
      </c>
      <c r="C32" t="str">
        <f>CHOOSE(units,"in","mm")</f>
        <v>in</v>
      </c>
      <c r="D32" s="8">
        <f>VLOOKUP(D29,Pitch_Spacing,3)*D31</f>
        <v>0.9975</v>
      </c>
      <c r="H32" s="5"/>
    </row>
    <row r="33" spans="1:8" ht="12.75">
      <c r="A33" s="1"/>
      <c r="B33" t="s">
        <v>876</v>
      </c>
      <c r="C33" t="str">
        <f>CHOOSE(units,"in","mm")</f>
        <v>in</v>
      </c>
      <c r="D33" s="8">
        <f>VLOOKUP(D29,Pitch_Spacing,2)*D31</f>
        <v>0.9975</v>
      </c>
      <c r="H33" s="5"/>
    </row>
    <row r="34" spans="1:8" ht="12.75">
      <c r="A34" s="1"/>
      <c r="B34" t="s">
        <v>837</v>
      </c>
      <c r="D34" s="183">
        <f>Nss</f>
        <v>2</v>
      </c>
      <c r="H34" s="5"/>
    </row>
    <row r="35" ht="12.75">
      <c r="A35" s="1"/>
    </row>
    <row r="36" ht="12.75">
      <c r="A36" s="1" t="s">
        <v>518</v>
      </c>
    </row>
    <row r="37" spans="1:4" ht="12.75">
      <c r="A37" s="1"/>
      <c r="B37" t="s">
        <v>581</v>
      </c>
      <c r="C37" t="str">
        <f>CHOOSE(units,"°F","°C")</f>
        <v>°F</v>
      </c>
      <c r="D37" s="8">
        <f>CHOOSE(Tubes,(SS_Tin+SS_Tout)/2,(TS_Tin+TS_Tout)/2)</f>
        <v>70.10062464188992</v>
      </c>
    </row>
    <row r="38" spans="1:4" ht="12.75">
      <c r="A38" s="1"/>
      <c r="B38" t="s">
        <v>582</v>
      </c>
      <c r="C38" t="str">
        <f>CHOOSE(units,"°F","°C")</f>
        <v>°F</v>
      </c>
      <c r="D38" s="8">
        <f>CHOOSE(Tubes,(TS_Tin+TS_Tout)/2,(SS_Tin+SS_Tout)/2)</f>
        <v>83.3</v>
      </c>
    </row>
    <row r="39" spans="1:4" ht="12.75">
      <c r="A39" s="1"/>
      <c r="B39" t="s">
        <v>666</v>
      </c>
      <c r="C39" t="str">
        <f>CHOOSE(units,"°F","°C")</f>
        <v>°F</v>
      </c>
      <c r="D39" s="8">
        <f>D38+(D13/SS_htc_assumed)*(D37-D38)</f>
        <v>73.55656210398767</v>
      </c>
    </row>
    <row r="40" spans="1:4" ht="12.75">
      <c r="A40" s="1"/>
      <c r="C40" t="s">
        <v>21</v>
      </c>
      <c r="D40" s="8">
        <f>CHOOSE(units,(D39-32)/1.8,D39)</f>
        <v>23.08697894665982</v>
      </c>
    </row>
    <row r="41" ht="12.75">
      <c r="A41" s="1"/>
    </row>
    <row r="42" spans="1:12" ht="12.75">
      <c r="A42" s="1"/>
      <c r="B42" t="s">
        <v>859</v>
      </c>
      <c r="C42" s="187" t="str">
        <f>INDEX(units_conv,13,units*2)</f>
        <v>ft²</v>
      </c>
      <c r="D42" s="217">
        <f>IF(OR(AND(TubePitchLayout=45,TubePitchRatio&lt;1.707),AND(TubePitchLayout=60,TubePitchRatio&lt;3.732)),$D28*(Shell_ID-TubeBundle_OD+((TubeBundle_OD-TubeOD)/D32)*(D32-TubeOD)),$D28*(Shell_ID-TubeBundle_OD+((TubeBundle_OD-TubeOD)/D32)*(TubePitch-TubeOD)))/CHOOSE(units,12,1000)^2</f>
        <v>0.47070802005012535</v>
      </c>
      <c r="E42" s="247"/>
      <c r="F42" s="247"/>
      <c r="K42" s="5"/>
      <c r="L42" s="5"/>
    </row>
    <row r="43" spans="1:12" ht="12.75">
      <c r="A43" s="1"/>
      <c r="B43" t="s">
        <v>542</v>
      </c>
      <c r="D43" s="380">
        <f>D16*D12/((D20)*D42)</f>
        <v>25929.286545072697</v>
      </c>
      <c r="K43" s="5"/>
      <c r="L43" s="5"/>
    </row>
    <row r="44" spans="1:4" ht="12.75">
      <c r="A44" s="1"/>
      <c r="B44" t="s">
        <v>681</v>
      </c>
      <c r="C44" t="s">
        <v>673</v>
      </c>
      <c r="D44" s="188">
        <f>CHOOSE(MATCH(TubePitchLayout,PitchLayouts),VLOOKUP(D$43,ji_30,2),VLOOKUP(D$43,ji_45,2),VLOOKUP(D$43,ji_60,2),VLOOKUP(D$43,ji_90,2))</f>
        <v>0.37</v>
      </c>
    </row>
    <row r="45" spans="1:4" ht="12.75">
      <c r="A45" s="1"/>
      <c r="C45" t="s">
        <v>674</v>
      </c>
      <c r="D45" s="188">
        <f>CHOOSE(MATCH(TubePitchLayout,PitchLayouts),VLOOKUP(D$43,ji_30,3),VLOOKUP(D$43,ji_45,3),VLOOKUP(D$43,ji_60,3),VLOOKUP(D$43,ji_90,3))</f>
        <v>-0.395</v>
      </c>
    </row>
    <row r="46" spans="1:4" ht="12.75">
      <c r="A46" s="1"/>
      <c r="C46" t="s">
        <v>675</v>
      </c>
      <c r="D46" s="188">
        <f>CHOOSE(MATCH(TubePitchLayout,PitchLayouts),VLOOKUP(D$43,ji_30,4),VLOOKUP(D$43,ji_45,4),VLOOKUP(D$43,ji_60,4),VLOOKUP(D$43,ji_90,4))</f>
        <v>1.187</v>
      </c>
    </row>
    <row r="47" spans="1:4" ht="12.75">
      <c r="A47" s="1"/>
      <c r="C47" t="s">
        <v>676</v>
      </c>
      <c r="D47" s="188">
        <f>CHOOSE(MATCH(TubePitchLayout,PitchLayouts),VLOOKUP(D$43,ji_30,5),VLOOKUP(D$43,ji_45,5),VLOOKUP(D$43,ji_60,5),VLOOKUP(D$43,ji_90,5))</f>
        <v>0.37</v>
      </c>
    </row>
    <row r="48" spans="1:4" ht="12.75">
      <c r="A48" s="1"/>
      <c r="C48" t="s">
        <v>683</v>
      </c>
      <c r="D48" s="188">
        <f>D46/(1+0.14*D43^D47)</f>
        <v>0.16921053737865718</v>
      </c>
    </row>
    <row r="49" spans="1:6" ht="12.75">
      <c r="A49" s="1"/>
      <c r="B49" t="s">
        <v>669</v>
      </c>
      <c r="D49" s="188">
        <f>D44*(1.33/TubePitchRatio)^D48*D43^D45</f>
        <v>0.006679661429482935</v>
      </c>
      <c r="F49" s="225"/>
    </row>
    <row r="50" spans="1:8" ht="12.75">
      <c r="A50" s="1"/>
      <c r="B50" t="s">
        <v>590</v>
      </c>
      <c r="D50" s="8">
        <f>(D19/D21)^0.14</f>
        <v>0.9835890871298701</v>
      </c>
      <c r="F50" t="s">
        <v>691</v>
      </c>
      <c r="H50" s="5">
        <f>D57*D75*D85*D97*D101</f>
        <v>0.692269614865508</v>
      </c>
    </row>
    <row r="51" spans="1:9" ht="12.75">
      <c r="A51" s="1"/>
      <c r="B51" t="s">
        <v>686</v>
      </c>
      <c r="C51" t="str">
        <f>INDEX(units_conv,4,units*2)</f>
        <v>Btu/h-ft²-°F</v>
      </c>
      <c r="D51" s="239">
        <f>D49*D22*(D12/D42)*(D24/(D22*D20))^(2/3)*D50*CHOOSE(units,3600,1000)</f>
        <v>1708.5919249727876</v>
      </c>
      <c r="F51" t="s">
        <v>730</v>
      </c>
      <c r="G51" t="str">
        <f>INDEX(units_conv,4,units*2)</f>
        <v>Btu/h-ft²-°F</v>
      </c>
      <c r="H51" s="218">
        <f>D51*H50</f>
        <v>1182.8062738632286</v>
      </c>
      <c r="I51" s="5">
        <f>IF(units=1,h_outside*5.7,"")</f>
        <v>6741.995761020404</v>
      </c>
    </row>
    <row r="52" ht="12.75">
      <c r="A52" s="1"/>
    </row>
    <row r="53" ht="12.75">
      <c r="A53" s="379" t="s">
        <v>828</v>
      </c>
    </row>
    <row r="54" spans="1:4" ht="12.75">
      <c r="A54" s="1"/>
      <c r="B54" t="s">
        <v>609</v>
      </c>
      <c r="C54" t="str">
        <f>CHOOSE(units,"in","mm")</f>
        <v>in</v>
      </c>
      <c r="D54" s="8">
        <f>Shell_ID*BaffleCut</f>
        <v>5.3125</v>
      </c>
    </row>
    <row r="55" spans="2:4" ht="12.75">
      <c r="B55" t="s">
        <v>131</v>
      </c>
      <c r="D55" s="8">
        <f>(Shell_ID-2*lc)/TubeBundle_OD</f>
        <v>0.5592105263157895</v>
      </c>
    </row>
    <row r="56" spans="2:5" ht="12.75">
      <c r="B56" t="s">
        <v>623</v>
      </c>
      <c r="C56" t="s">
        <v>611</v>
      </c>
      <c r="D56" s="8">
        <f>1/PI()*(PI()+D55*2*SIN(ACOS(D55))-2*ACOS(D55))</f>
        <v>0.6729281668936289</v>
      </c>
      <c r="E56" s="5"/>
    </row>
    <row r="57" spans="2:4" ht="12.75">
      <c r="B57" t="s">
        <v>612</v>
      </c>
      <c r="C57" t="s">
        <v>613</v>
      </c>
      <c r="D57" s="237">
        <f>0.55+0.72*D56</f>
        <v>1.034508280163413</v>
      </c>
    </row>
    <row r="59" spans="1:2" ht="12.75">
      <c r="A59" s="379" t="s">
        <v>829</v>
      </c>
      <c r="B59" s="41"/>
    </row>
    <row r="60" spans="2:10" ht="12.75">
      <c r="B60" t="s">
        <v>697</v>
      </c>
      <c r="C60" t="s">
        <v>698</v>
      </c>
      <c r="D60" s="8">
        <f>ACOS(1-2*lc/Shell_ID)</f>
        <v>1.0471975511965976</v>
      </c>
      <c r="E60" s="404">
        <f>D60*2</f>
        <v>2.0943951023931953</v>
      </c>
      <c r="J60" s="8"/>
    </row>
    <row r="61" spans="2:10" ht="12.75">
      <c r="B61" t="s">
        <v>699</v>
      </c>
      <c r="C61" t="s">
        <v>700</v>
      </c>
      <c r="D61" s="8">
        <f>Shell_ID-baffle_diameter</f>
        <v>0.25000000000000355</v>
      </c>
      <c r="F61" s="8"/>
      <c r="J61" s="8"/>
    </row>
    <row r="62" spans="2:10" ht="12.75">
      <c r="B62" t="s">
        <v>702</v>
      </c>
      <c r="C62" t="s">
        <v>703</v>
      </c>
      <c r="D62" s="5">
        <f>0.5*(PI()-D60)*Shell_ID*D61</f>
        <v>5.563236990732005</v>
      </c>
      <c r="F62" s="5"/>
      <c r="J62" s="8"/>
    </row>
    <row r="63" spans="2:10" ht="12.75">
      <c r="B63" t="s">
        <v>707</v>
      </c>
      <c r="C63" t="s">
        <v>708</v>
      </c>
      <c r="D63" s="8">
        <f>Shell_ID-TubeBundle_OD</f>
        <v>2.25</v>
      </c>
      <c r="E63">
        <f>TubeBundle_OD-TubeOD</f>
        <v>18.25</v>
      </c>
      <c r="J63" s="8"/>
    </row>
    <row r="64" spans="2:10" ht="12.75">
      <c r="B64" t="s">
        <v>705</v>
      </c>
      <c r="C64" t="s">
        <v>706</v>
      </c>
      <c r="D64" s="8">
        <f>2*ACOS((Shell_ID-2*lc)/(Shell_ID-D63))</f>
        <v>1.9547262479448697</v>
      </c>
      <c r="E64" s="8">
        <f>2*ACOS((Shell_ID-2*lc)/(E63))</f>
        <v>1.8987489660912267</v>
      </c>
      <c r="J64" s="8"/>
    </row>
    <row r="65" spans="2:10" ht="12.75">
      <c r="B65" t="s">
        <v>704</v>
      </c>
      <c r="C65" t="s">
        <v>716</v>
      </c>
      <c r="D65" s="8">
        <f>(D64-SIN(D64))/(2*PI())</f>
        <v>0.1635359165531855</v>
      </c>
      <c r="E65" s="5">
        <f>E64/(2*PI())-SIN(E64)/(2*PI())</f>
        <v>0.15152269530094545</v>
      </c>
      <c r="J65" s="8"/>
    </row>
    <row r="66" spans="2:11" ht="12.75">
      <c r="B66" t="s">
        <v>725</v>
      </c>
      <c r="C66" t="s">
        <v>726</v>
      </c>
      <c r="D66" s="8">
        <f>BaffleHoleClearance</f>
        <v>0.03125</v>
      </c>
      <c r="J66" s="8"/>
      <c r="K66" s="5"/>
    </row>
    <row r="67" spans="2:6" ht="12.75">
      <c r="B67" t="s">
        <v>709</v>
      </c>
      <c r="C67" t="s">
        <v>710</v>
      </c>
      <c r="D67" s="8">
        <f>(PI()*TubeOD*(1-D65)*D17*D66)/4</f>
        <v>4.742410905590949</v>
      </c>
      <c r="F67" s="5"/>
    </row>
    <row r="68" spans="2:5" ht="12.75">
      <c r="B68" t="s">
        <v>713</v>
      </c>
      <c r="C68" t="s">
        <v>714</v>
      </c>
      <c r="D68" s="8">
        <f>ACOS((1-2*lc)/Shell_ID)</f>
        <v>2.0408578946530596</v>
      </c>
      <c r="E68">
        <f>2*ACOS(1-2*lc/Shell_ID)</f>
        <v>2.0943951023931953</v>
      </c>
    </row>
    <row r="69" spans="2:5" ht="12.75">
      <c r="B69" t="s">
        <v>715</v>
      </c>
      <c r="C69" t="s">
        <v>894</v>
      </c>
      <c r="D69" s="5">
        <f>INT(D65*D17)</f>
        <v>50</v>
      </c>
      <c r="E69" s="5">
        <f>Notubes*E65</f>
        <v>46.6689901526912</v>
      </c>
    </row>
    <row r="70" spans="2:5" ht="12.75">
      <c r="B70" t="s">
        <v>717</v>
      </c>
      <c r="C70" t="s">
        <v>718</v>
      </c>
      <c r="D70" s="5">
        <f>PI()/4*D69*TubeOD^2</f>
        <v>22.089323345553233</v>
      </c>
      <c r="E70" s="5">
        <f>PI()/4*TubeOD^2*E69</f>
        <v>20.617728273864714</v>
      </c>
    </row>
    <row r="71" spans="2:5" ht="12.75">
      <c r="B71" t="s">
        <v>719</v>
      </c>
      <c r="C71" t="s">
        <v>720</v>
      </c>
      <c r="D71" s="8">
        <f>Shell_ID^2/8*(D68-SIN(D68))</f>
        <v>64.87358496300364</v>
      </c>
      <c r="E71" s="5">
        <f>Shell_ID^2/4*(E68/2-(1-2*lc/Shell_ID)*SIN(E68/2))</f>
        <v>69.33571150350208</v>
      </c>
    </row>
    <row r="72" spans="2:11" ht="12.75">
      <c r="B72" t="s">
        <v>721</v>
      </c>
      <c r="C72" t="s">
        <v>722</v>
      </c>
      <c r="D72" s="5">
        <f>D71-D70</f>
        <v>42.784261617450404</v>
      </c>
      <c r="E72" s="5">
        <f>E71-E70</f>
        <v>48.71798322963737</v>
      </c>
      <c r="F72" t="s">
        <v>954</v>
      </c>
      <c r="G72">
        <f>4*E72/((PI()*TubeOD*E70)+(Shell_ID*(E68/(2))))/12</f>
        <v>0.22926435885964214</v>
      </c>
      <c r="J72" s="8"/>
      <c r="K72" s="5"/>
    </row>
    <row r="73" spans="2:10" ht="12.75">
      <c r="B73" t="s">
        <v>131</v>
      </c>
      <c r="C73" t="s">
        <v>711</v>
      </c>
      <c r="D73" s="5">
        <f>D62/(D62+D67)</f>
        <v>0.539824089343957</v>
      </c>
      <c r="J73" s="8"/>
    </row>
    <row r="74" spans="2:10" ht="12.75">
      <c r="B74" t="s">
        <v>131</v>
      </c>
      <c r="C74" t="s">
        <v>712</v>
      </c>
      <c r="D74" s="5">
        <f>(D62+D67)/D72</f>
        <v>0.24087474007310183</v>
      </c>
      <c r="J74" s="8"/>
    </row>
    <row r="75" spans="2:10" ht="12.75">
      <c r="B75" t="s">
        <v>723</v>
      </c>
      <c r="C75" t="s">
        <v>724</v>
      </c>
      <c r="D75" s="241">
        <f>0.44*(1-D73)+(1-0.044*(1-D73))*EXP(-2.2*D74)</f>
        <v>0.7792080328854658</v>
      </c>
      <c r="J75" s="8"/>
    </row>
    <row r="77" ht="12.75">
      <c r="A77" s="379" t="s">
        <v>830</v>
      </c>
    </row>
    <row r="78" spans="2:4" ht="12.75">
      <c r="B78" t="s">
        <v>826</v>
      </c>
      <c r="C78" t="s">
        <v>5</v>
      </c>
      <c r="D78" s="8">
        <f>IF(D43&gt;100,1.25,1.35)</f>
        <v>1.25</v>
      </c>
    </row>
    <row r="79" spans="2:4" ht="12.75">
      <c r="B79" t="s">
        <v>833</v>
      </c>
      <c r="C79" t="s">
        <v>834</v>
      </c>
      <c r="D79" s="8">
        <f>IF(TubePasses=1,0,TubePasses/2)</f>
        <v>0</v>
      </c>
    </row>
    <row r="80" spans="2:4" ht="12.75">
      <c r="B80" t="s">
        <v>835</v>
      </c>
      <c r="C80" t="s">
        <v>836</v>
      </c>
      <c r="D80" s="8">
        <f>TubeOD*2</f>
        <v>1.5</v>
      </c>
    </row>
    <row r="81" spans="2:4" ht="12.75">
      <c r="B81" t="s">
        <v>860</v>
      </c>
      <c r="C81" s="187" t="str">
        <f>INDEX(units_conv,13,units*2)</f>
        <v>ft²</v>
      </c>
      <c r="D81" s="8">
        <f>D28*(Shell_ID-TubeBundle_OD+0.5*D79*TubeOD)/CHOOSE(units,12,1000)^2</f>
        <v>0.15625</v>
      </c>
    </row>
    <row r="82" spans="2:4" ht="12.75">
      <c r="B82" t="s">
        <v>844</v>
      </c>
      <c r="C82" t="s">
        <v>841</v>
      </c>
      <c r="D82" s="5">
        <f>D81/D42</f>
        <v>0.3319467554076539</v>
      </c>
    </row>
    <row r="83" spans="2:4" ht="12.75">
      <c r="B83" t="s">
        <v>838</v>
      </c>
      <c r="C83" t="s">
        <v>839</v>
      </c>
      <c r="D83" s="8">
        <f>(Shell_ID-2*lc)/D33</f>
        <v>10.651629072681704</v>
      </c>
    </row>
    <row r="84" spans="2:4" ht="12.75">
      <c r="B84" t="s">
        <v>840</v>
      </c>
      <c r="D84" s="5">
        <f>Nss/D83</f>
        <v>0.18776470588235294</v>
      </c>
    </row>
    <row r="85" spans="2:4" ht="12.75">
      <c r="B85" t="s">
        <v>842</v>
      </c>
      <c r="C85" t="s">
        <v>843</v>
      </c>
      <c r="D85" s="237">
        <f>IF(D84&gt;=0.5,1,EXP(-D78*D82*(1-(2*D84)^(1/3))))</f>
        <v>0.8908547260332952</v>
      </c>
    </row>
    <row r="87" ht="12.75">
      <c r="A87" s="379" t="s">
        <v>845</v>
      </c>
    </row>
    <row r="88" ht="12.75">
      <c r="B88" t="s">
        <v>846</v>
      </c>
    </row>
    <row r="89" ht="12.75">
      <c r="B89" t="s">
        <v>847</v>
      </c>
    </row>
    <row r="90" ht="12.75">
      <c r="B90" t="s">
        <v>848</v>
      </c>
    </row>
    <row r="91" spans="2:4" ht="12.75">
      <c r="B91" t="s">
        <v>832</v>
      </c>
      <c r="D91" s="183">
        <f>NumberBaffles</f>
        <v>16</v>
      </c>
    </row>
    <row r="92" spans="2:4" ht="12.75">
      <c r="B92" t="s">
        <v>849</v>
      </c>
      <c r="C92" t="str">
        <f>CHOOSE(units,"in","mm")</f>
        <v>in</v>
      </c>
      <c r="D92" s="8">
        <f>(D91-1)*D28</f>
        <v>150</v>
      </c>
    </row>
    <row r="93" spans="2:4" ht="12.75">
      <c r="B93" t="s">
        <v>850</v>
      </c>
      <c r="C93" t="str">
        <f>CHOOSE(units,"in","mm")</f>
        <v>in</v>
      </c>
      <c r="D93" s="8">
        <f>(TubeLength*CHOOSE(units,12,1000)-D92)/2</f>
        <v>14.999999999999986</v>
      </c>
    </row>
    <row r="94" spans="2:4" ht="12.75">
      <c r="B94" t="s">
        <v>851</v>
      </c>
      <c r="C94" t="s">
        <v>637</v>
      </c>
      <c r="D94" s="8">
        <f>IF(D43&lt;100,1/3,3/5)</f>
        <v>0.6</v>
      </c>
    </row>
    <row r="95" spans="2:4" ht="12.75">
      <c r="B95" t="s">
        <v>852</v>
      </c>
      <c r="D95" s="8">
        <f>D93/D28</f>
        <v>1.4999999999999987</v>
      </c>
    </row>
    <row r="96" spans="2:4" ht="12.75">
      <c r="B96" t="s">
        <v>853</v>
      </c>
      <c r="D96" s="8">
        <f>D93/D28</f>
        <v>1.4999999999999987</v>
      </c>
    </row>
    <row r="97" spans="2:6" ht="12.75">
      <c r="B97" t="s">
        <v>854</v>
      </c>
      <c r="C97" t="s">
        <v>855</v>
      </c>
      <c r="D97" s="241">
        <f>(D91-1+D95^(1-D94)+D96^(1-D94))/(D91-1+D95+D96)</f>
        <v>0.9640087802805191</v>
      </c>
      <c r="F97" s="5"/>
    </row>
    <row r="99" ht="12.75">
      <c r="A99" s="379" t="s">
        <v>856</v>
      </c>
    </row>
    <row r="100" spans="2:4" ht="12.75">
      <c r="B100" t="s">
        <v>857</v>
      </c>
      <c r="D100" s="5">
        <f>(Shell_ID-2*D27*Shell_ID)/D33</f>
        <v>10.651629072681704</v>
      </c>
    </row>
    <row r="101" spans="2:4" ht="12.75">
      <c r="B101" t="s">
        <v>858</v>
      </c>
      <c r="D101" s="237">
        <f>IF(D43&lt;=20,(10/D100)^0.18,IF(D43&lt;100,(10/D100)^0.18+((20-D43)/80)*((10/D100)^0.18-1),1))</f>
        <v>1</v>
      </c>
    </row>
  </sheetData>
  <sheetProtection/>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7"/>
  <dimension ref="A6:F64"/>
  <sheetViews>
    <sheetView zoomScalePageLayoutView="0" workbookViewId="0" topLeftCell="A1">
      <selection activeCell="A1" sqref="A1"/>
    </sheetView>
  </sheetViews>
  <sheetFormatPr defaultColWidth="9.140625" defaultRowHeight="12.75"/>
  <cols>
    <col min="2" max="2" width="34.00390625" style="0" customWidth="1"/>
    <col min="4" max="4" width="11.28125" style="0" bestFit="1" customWidth="1"/>
  </cols>
  <sheetData>
    <row r="6" ht="12.75">
      <c r="A6" s="1" t="s">
        <v>1</v>
      </c>
    </row>
    <row r="8" ht="12.75">
      <c r="A8" s="1" t="s">
        <v>865</v>
      </c>
    </row>
    <row r="9" spans="2:4" ht="12.75">
      <c r="B9" t="s">
        <v>542</v>
      </c>
      <c r="D9" s="183">
        <f>'Shell htc'!D43</f>
        <v>25929.286545072697</v>
      </c>
    </row>
    <row r="10" spans="2:4" ht="12.75">
      <c r="B10" t="s">
        <v>832</v>
      </c>
      <c r="D10" s="183">
        <f>'Shell htc'!D91</f>
        <v>16</v>
      </c>
    </row>
    <row r="11" spans="2:4" ht="12.75">
      <c r="B11" t="s">
        <v>684</v>
      </c>
      <c r="D11" s="8">
        <f>TubePitchRatio</f>
        <v>1.33</v>
      </c>
    </row>
    <row r="12" spans="2:4" ht="12.75">
      <c r="B12" t="s">
        <v>747</v>
      </c>
      <c r="C12" t="str">
        <f>CHOOSE(units,"in","mm")</f>
        <v>in</v>
      </c>
      <c r="D12" s="8">
        <f>'Shell htc'!D31</f>
        <v>0.9975</v>
      </c>
    </row>
    <row r="13" spans="2:4" ht="12.75">
      <c r="B13" t="s">
        <v>861</v>
      </c>
      <c r="C13" t="str">
        <f>CHOOSE(units,"in","mm")</f>
        <v>in</v>
      </c>
      <c r="D13" s="8">
        <f>TubeOD</f>
        <v>0.75</v>
      </c>
    </row>
    <row r="14" spans="2:4" ht="12.75">
      <c r="B14" t="s">
        <v>590</v>
      </c>
      <c r="D14" s="5">
        <f>'Shell htc'!D50</f>
        <v>0.9835890871298701</v>
      </c>
    </row>
    <row r="15" spans="2:4" ht="12.75">
      <c r="B15" t="s">
        <v>509</v>
      </c>
      <c r="C15" t="str">
        <f>CHOOSE(units,"lb/s","kg/s")</f>
        <v>lb/s</v>
      </c>
      <c r="D15" s="5">
        <f>'Shell htc'!D12</f>
        <v>110.00000000000001</v>
      </c>
    </row>
    <row r="16" spans="2:4" ht="12.75">
      <c r="B16" t="s">
        <v>866</v>
      </c>
      <c r="C16" t="s">
        <v>956</v>
      </c>
      <c r="D16" s="5">
        <f>Nrcc</f>
        <v>10.651629072681704</v>
      </c>
    </row>
    <row r="17" spans="2:4" ht="12.75">
      <c r="B17" t="s">
        <v>916</v>
      </c>
      <c r="C17" t="s">
        <v>955</v>
      </c>
      <c r="D17" s="5">
        <f>0.8*(lc-0.5*(Shell_ID-(TubeBundle_OD-TubeOD)))/'Shell htc'!D33</f>
        <v>3.0576441102756893</v>
      </c>
    </row>
    <row r="18" spans="2:4" ht="12.75">
      <c r="B18" t="s">
        <v>0</v>
      </c>
      <c r="C18" s="187" t="str">
        <f>INDEX(units_conv,18,units*2)</f>
        <v>lb/ft3</v>
      </c>
      <c r="D18" s="5">
        <f>CHOOSE(Tubes,(TS_DensityIn+TS_DensityOut)/2,(SS_DensityIn+SS_DensityOut)/2)</f>
        <v>62.009227683447534</v>
      </c>
    </row>
    <row r="19" spans="2:4" ht="12.75">
      <c r="B19" t="s">
        <v>867</v>
      </c>
      <c r="C19" t="s">
        <v>868</v>
      </c>
      <c r="D19" s="8">
        <f>CHOOSE(units,32.17,1)</f>
        <v>32.17</v>
      </c>
    </row>
    <row r="20" spans="2:4" ht="12.75">
      <c r="B20" t="s">
        <v>869</v>
      </c>
      <c r="C20" s="187" t="str">
        <f>INDEX(units_conv,13,units*2)</f>
        <v>ft²</v>
      </c>
      <c r="D20" s="188">
        <f>'Shell htc'!D42</f>
        <v>0.47070802005012535</v>
      </c>
    </row>
    <row r="21" spans="2:4" ht="12.75">
      <c r="B21" t="s">
        <v>887</v>
      </c>
      <c r="C21" s="187" t="str">
        <f>INDEX(units_conv,13,units*2)</f>
        <v>ft²</v>
      </c>
      <c r="D21" s="188">
        <f>'Shell htc'!D72/CHOOSE(units,144,1000000)</f>
        <v>0.29711292789896115</v>
      </c>
    </row>
    <row r="22" spans="2:4" ht="12.75">
      <c r="B22" t="str">
        <f>'Shell htc'!B82</f>
        <v>Ratio, bypass to crossflow area</v>
      </c>
      <c r="C22" t="str">
        <f>'Shell htc'!C82</f>
        <v>rc</v>
      </c>
      <c r="D22" s="8">
        <f>'Shell htc'!D82</f>
        <v>0.3319467554076539</v>
      </c>
    </row>
    <row r="23" spans="2:4" ht="12.75">
      <c r="B23" t="str">
        <f>'Shell htc'!B84</f>
        <v>Ratio of sealing strips to tubes</v>
      </c>
      <c r="D23" s="8">
        <f>'Shell htc'!D84</f>
        <v>0.18776470588235294</v>
      </c>
    </row>
    <row r="24" spans="2:4" ht="12.75">
      <c r="B24" t="str">
        <f>'Shell htc'!B73</f>
        <v>Intermediate</v>
      </c>
      <c r="C24" t="str">
        <f>'Shell htc'!C73</f>
        <v>ra</v>
      </c>
      <c r="D24" s="8">
        <f>'Shell htc'!D73</f>
        <v>0.539824089343957</v>
      </c>
    </row>
    <row r="25" spans="2:4" ht="12.75">
      <c r="B25" t="str">
        <f>'Shell htc'!B74</f>
        <v>Intermediate</v>
      </c>
      <c r="C25" t="str">
        <f>'Shell htc'!C74</f>
        <v>rb</v>
      </c>
      <c r="D25" s="8">
        <f>'Shell htc'!D74</f>
        <v>0.24087474007310183</v>
      </c>
    </row>
    <row r="26" spans="2:4" ht="12.75">
      <c r="B26" t="s">
        <v>897</v>
      </c>
      <c r="D26" s="8">
        <f>'Shell htc'!D28</f>
        <v>10</v>
      </c>
    </row>
    <row r="27" spans="2:4" ht="12.75">
      <c r="B27" t="s">
        <v>898</v>
      </c>
      <c r="D27" s="8">
        <f>'Shell htc'!D93</f>
        <v>14.999999999999986</v>
      </c>
    </row>
    <row r="28" spans="2:4" ht="12.75">
      <c r="B28" t="s">
        <v>899</v>
      </c>
      <c r="D28" s="8">
        <f>'Shell htc'!D93</f>
        <v>14.999999999999986</v>
      </c>
    </row>
    <row r="30" ht="12.75">
      <c r="A30" s="1" t="s">
        <v>518</v>
      </c>
    </row>
    <row r="31" ht="12.75">
      <c r="A31" s="379" t="s">
        <v>878</v>
      </c>
    </row>
    <row r="32" spans="1:4" ht="12.75">
      <c r="A32" s="1"/>
      <c r="B32" t="s">
        <v>25</v>
      </c>
      <c r="C32" t="str">
        <f>INDEX(units_conv,12,units*2)</f>
        <v>ft/s</v>
      </c>
      <c r="D32" s="8">
        <f>D15/D18/D20</f>
        <v>3.7686409674373134</v>
      </c>
    </row>
    <row r="33" ht="12.75">
      <c r="A33" s="1"/>
    </row>
    <row r="34" ht="12.75">
      <c r="A34" s="379" t="s">
        <v>888</v>
      </c>
    </row>
    <row r="35" spans="2:4" ht="12.75">
      <c r="B35" t="s">
        <v>862</v>
      </c>
      <c r="C35" t="s">
        <v>677</v>
      </c>
      <c r="D35" s="188">
        <f>CHOOSE(MATCH(TubePitchLayout,PitchLayouts),VLOOKUP(D$9,ji_30,6),VLOOKUP(D$9,ji_45,6),VLOOKUP(D$9,ji_60,6),VLOOKUP(D$9,ji_90,6))</f>
        <v>0.391</v>
      </c>
    </row>
    <row r="36" spans="3:4" ht="12.75">
      <c r="C36" t="s">
        <v>678</v>
      </c>
      <c r="D36" s="188">
        <f>CHOOSE(MATCH(TubePitchLayout,PitchLayouts),VLOOKUP(D$9,ji_30,7),VLOOKUP(D$9,ji_45,7),VLOOKUP(D$9,ji_60,7),VLOOKUP(D$9,ji_90,7))</f>
        <v>-0.148</v>
      </c>
    </row>
    <row r="37" spans="3:4" ht="12.75">
      <c r="C37" t="s">
        <v>679</v>
      </c>
      <c r="D37" s="188">
        <f>CHOOSE(MATCH(TubePitchLayout,PitchLayouts),VLOOKUP(D$9,ji_30,8),VLOOKUP(D$9,ji_45,8),VLOOKUP(D$9,ji_60,8),VLOOKUP(D$9,ji_90,8))</f>
        <v>6.3</v>
      </c>
    </row>
    <row r="38" spans="3:4" ht="12.75">
      <c r="C38" t="s">
        <v>680</v>
      </c>
      <c r="D38" s="188">
        <f>CHOOSE(MATCH(TubePitchLayout,PitchLayouts),VLOOKUP(D$9,ji_30,9),VLOOKUP(D$9,ji_45,9),VLOOKUP(D$9,ji_60,9),VLOOKUP(D$9,ji_90,9))</f>
        <v>0.378</v>
      </c>
    </row>
    <row r="39" spans="3:4" ht="12.75">
      <c r="C39" t="s">
        <v>17</v>
      </c>
      <c r="D39" s="188">
        <f>D37/(1+0.14*D9^D38)</f>
        <v>0.8372755754047878</v>
      </c>
    </row>
    <row r="40" spans="2:4" ht="12.75">
      <c r="B40" t="s">
        <v>863</v>
      </c>
      <c r="D40" s="188">
        <f>D35*(1.33/TubePitchRatio)^D39*D9^D36</f>
        <v>0.08688318907593247</v>
      </c>
    </row>
    <row r="41" spans="2:4" ht="12.75">
      <c r="B41" t="s">
        <v>864</v>
      </c>
      <c r="C41" t="str">
        <f>INDEX(units_conv,14,units*2)</f>
        <v>psig</v>
      </c>
      <c r="D41" s="5">
        <f>2*D40*(D15/D20)^2*D16/D18/D19*D14*CHOOSE(units,1/144,1/1000)</f>
        <v>0.3461049288837835</v>
      </c>
    </row>
    <row r="42" spans="2:6" ht="12.75">
      <c r="B42" t="s">
        <v>873</v>
      </c>
      <c r="C42" t="str">
        <f>INDEX(units_conv,14,units*2)</f>
        <v>psig</v>
      </c>
      <c r="D42" s="389">
        <f>(D10-1)*D41</f>
        <v>5.191573933256753</v>
      </c>
      <c r="F42" s="5"/>
    </row>
    <row r="43" ht="12.75">
      <c r="D43" s="390"/>
    </row>
    <row r="44" spans="1:4" ht="12.75">
      <c r="A44" s="379" t="s">
        <v>870</v>
      </c>
      <c r="D44" s="390"/>
    </row>
    <row r="45" spans="2:4" ht="12.75">
      <c r="B45" t="s">
        <v>871</v>
      </c>
      <c r="C45" t="s">
        <v>872</v>
      </c>
      <c r="D45" s="391">
        <f>IF(D9&lt;=100,4.5,3.7)</f>
        <v>3.7</v>
      </c>
    </row>
    <row r="46" spans="2:4" ht="12.75">
      <c r="B46" t="s">
        <v>870</v>
      </c>
      <c r="C46" t="s">
        <v>885</v>
      </c>
      <c r="D46" s="392">
        <f>IF(D23&gt;=0.5,1,EXP(-D45*D22*(1-((2*D23)^(1/3)))))</f>
        <v>0.7102780428783547</v>
      </c>
    </row>
    <row r="47" ht="12.75">
      <c r="D47" s="390"/>
    </row>
    <row r="48" spans="1:4" ht="12.75">
      <c r="A48" s="379" t="s">
        <v>883</v>
      </c>
      <c r="D48" s="390"/>
    </row>
    <row r="49" spans="1:4" ht="12.75">
      <c r="A49" s="379"/>
      <c r="B49" t="s">
        <v>886</v>
      </c>
      <c r="D49" s="389">
        <f>-0.15*(1+D24)+0.8</f>
        <v>0.5690263865984065</v>
      </c>
    </row>
    <row r="50" spans="2:4" ht="12.75">
      <c r="B50" t="s">
        <v>883</v>
      </c>
      <c r="C50" t="s">
        <v>884</v>
      </c>
      <c r="D50" s="392">
        <f>EXP(-1.33*(1+D24)*D25^D49)</f>
        <v>0.40209888358414875</v>
      </c>
    </row>
    <row r="52" spans="2:4" ht="12.75">
      <c r="B52" t="s">
        <v>890</v>
      </c>
      <c r="C52" t="str">
        <f>INDEX(units_conv,14,units*2)</f>
        <v>psig</v>
      </c>
      <c r="D52" s="241">
        <f>D42*D46*D50</f>
        <v>1.4827239404116954</v>
      </c>
    </row>
    <row r="54" ht="12.75">
      <c r="A54" s="379" t="s">
        <v>891</v>
      </c>
    </row>
    <row r="55" spans="2:4" ht="12.75">
      <c r="B55" t="s">
        <v>892</v>
      </c>
      <c r="C55" t="s">
        <v>889</v>
      </c>
      <c r="D55" s="183">
        <f>D15/(D20*D21)^0.5</f>
        <v>294.14137049452194</v>
      </c>
    </row>
    <row r="56" spans="2:4" ht="12.75">
      <c r="B56" t="s">
        <v>917</v>
      </c>
      <c r="C56" t="str">
        <f>CHOOSE(units,"ft","m")</f>
        <v>ft</v>
      </c>
      <c r="D56" s="8">
        <f>4*D21/(PI()*TubeOD*Ntw+(Shell_ID*'Shell htc'!D64/2))*CHOOSE(units,12,1000)</f>
        <v>0.10291207433944932</v>
      </c>
    </row>
    <row r="57" spans="2:4" ht="12.75">
      <c r="B57" t="s">
        <v>893</v>
      </c>
      <c r="C57" t="str">
        <f>INDEX(units_conv,14,units*2)</f>
        <v>psig</v>
      </c>
      <c r="D57" s="237">
        <f>IF(D9&gt;100,26*D55*'Shell Pressure Drop'!D20/CHOOSE(units,32.17,1)/'Shell Pressure Drop'!D18*(D17/(TubePitch-TubeOD)+'Shell Pressure Drop'!D11/'Shell Pressure Drop'!D56^2)+'Shell Pressure Drop'!D55^2/(CHOOSE(units,32.17,1)*'Shell Pressure Drop'!D18),'Shell Pressure Drop'!D55^2*(2+0.6*'Shell Pressure Drop'!D17)/(2*CHOOSE(units,32.17,1)*'Shell Pressure Drop'!D18))*CHOOSE(units,1/144,1/1000)</f>
        <v>2.029739533864643</v>
      </c>
    </row>
    <row r="59" ht="12.75">
      <c r="A59" s="379" t="s">
        <v>895</v>
      </c>
    </row>
    <row r="60" spans="1:4" ht="12.75">
      <c r="A60" s="379"/>
      <c r="B60" t="s">
        <v>851</v>
      </c>
      <c r="D60" s="223">
        <f>IF(D9&gt;100,0.2,1)</f>
        <v>0.2</v>
      </c>
    </row>
    <row r="61" spans="2:4" ht="12.75">
      <c r="B61" t="s">
        <v>900</v>
      </c>
      <c r="C61" t="s">
        <v>901</v>
      </c>
      <c r="D61" s="8">
        <f>(D26/D27)^(2-D60)+(D26/D28)^(2-D60)</f>
        <v>0.9639749077312892</v>
      </c>
    </row>
    <row r="62" spans="2:4" ht="12.75">
      <c r="B62" t="s">
        <v>896</v>
      </c>
      <c r="C62" t="str">
        <f>INDEX(units_conv,14,units*2)</f>
        <v>psig</v>
      </c>
      <c r="D62" s="386">
        <f>D41*(1+Nrtw/Nrcc)*D46*D61*CHOOSE(units,1/144,1/1000)</f>
        <v>0.0021180577979213614</v>
      </c>
    </row>
    <row r="64" spans="2:4" ht="12.75">
      <c r="B64" t="s">
        <v>902</v>
      </c>
      <c r="C64" t="str">
        <f>INDEX(units_conv,14,units*2)</f>
        <v>psig</v>
      </c>
      <c r="D64" s="218">
        <f>D52+D57+D62</f>
        <v>3.51458153207426</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Heat Exchangers</dc:title>
  <dc:subject/>
  <dc:creator>Stephen M Hall</dc:creator>
  <cp:keywords/>
  <dc:description>Chapter 2
Rules of Thumb for Chemical Engineers</dc:description>
  <cp:lastModifiedBy>Stephen Hall</cp:lastModifiedBy>
  <cp:lastPrinted>2010-12-31T14:49:14Z</cp:lastPrinted>
  <dcterms:created xsi:type="dcterms:W3CDTF">2010-07-09T21:44:52Z</dcterms:created>
  <dcterms:modified xsi:type="dcterms:W3CDTF">2012-03-13T14:56:53Z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