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320" windowHeight="12120" activeTab="0"/>
  </bookViews>
  <sheets>
    <sheet name="Home" sheetId="1" r:id="rId1"/>
    <sheet name="Absorber" sheetId="2" r:id="rId2"/>
    <sheet name="Data" sheetId="3" r:id="rId3"/>
    <sheet name="Henrys Law" sheetId="4" r:id="rId4"/>
  </sheets>
  <definedNames>
    <definedName name="H_Data">'Henrys Law'!$C$32:$F$45</definedName>
    <definedName name="H_Substance">'Henrys Law'!$C$32:$C$45</definedName>
    <definedName name="HOG">'Absorber'!$D$107</definedName>
    <definedName name="NOG">'Absorber'!$D$101</definedName>
    <definedName name="PackingRelative">'Data'!$B$43:$C$50</definedName>
    <definedName name="packings">'Data'!$B$43:$B$50</definedName>
    <definedName name="PressuretoAtm">'Data'!$B$11:$C$19</definedName>
    <definedName name="PressureUnits">'Data'!$B$11:$B$20</definedName>
    <definedName name="Raschig_Rings_ceramic">"packingfactor"</definedName>
    <definedName name="SoluteName">'Absorber'!$D$17</definedName>
    <definedName name="SystemTemperature">'Absorber'!$D$9</definedName>
  </definedNames>
  <calcPr fullCalcOnLoad="1"/>
</workbook>
</file>

<file path=xl/sharedStrings.xml><?xml version="1.0" encoding="utf-8"?>
<sst xmlns="http://schemas.openxmlformats.org/spreadsheetml/2006/main" count="183" uniqueCount="151">
  <si>
    <t>by Stephen Hall</t>
  </si>
  <si>
    <t xml:space="preserve">ChemEng Software sells an Excel template called TANKJKT </t>
  </si>
  <si>
    <t>www.chemengsoftware.com</t>
  </si>
  <si>
    <t>TANKJKT models heat transfer in vessels with jackets and/or internal coils. It includes a database of properties for glass-lined reactors, heat transfer fluids, and insulation materials. Order on-line or by telephone, 24-h/d; credit cards accepted.</t>
  </si>
  <si>
    <t>Chapter 4: Absorbers</t>
  </si>
  <si>
    <t>Inputs</t>
  </si>
  <si>
    <t>Liquid Stream</t>
  </si>
  <si>
    <t>Column Parameters</t>
  </si>
  <si>
    <t>Name</t>
  </si>
  <si>
    <t>Primary component</t>
  </si>
  <si>
    <t>Molecular weight</t>
  </si>
  <si>
    <t>Solute component</t>
  </si>
  <si>
    <t>Pressure</t>
  </si>
  <si>
    <t>Temperature</t>
  </si>
  <si>
    <t>Flow</t>
  </si>
  <si>
    <t>lb/h</t>
  </si>
  <si>
    <t>F</t>
  </si>
  <si>
    <t>Density</t>
  </si>
  <si>
    <t>lb/ft3</t>
  </si>
  <si>
    <t>Diameter</t>
  </si>
  <si>
    <t>ft</t>
  </si>
  <si>
    <t>Packing type</t>
  </si>
  <si>
    <t>Calculations</t>
  </si>
  <si>
    <t>water</t>
  </si>
  <si>
    <t>Air</t>
  </si>
  <si>
    <t>atm</t>
  </si>
  <si>
    <t>Data</t>
  </si>
  <si>
    <t>lb-mol/(h-ft3-atm)</t>
  </si>
  <si>
    <t>lb-mol/ft2-h</t>
  </si>
  <si>
    <t>Gas Stream In</t>
  </si>
  <si>
    <t>Material Balance</t>
  </si>
  <si>
    <t>Pall Rings, metal</t>
  </si>
  <si>
    <t>Pall Rings, plastic</t>
  </si>
  <si>
    <t>Super Intalox, plastic</t>
  </si>
  <si>
    <t>Intalox Saddles, ceramic</t>
  </si>
  <si>
    <t>Hy-Pak, metal</t>
  </si>
  <si>
    <t>Maspac, plastic</t>
  </si>
  <si>
    <t>Tellerettes, plastic</t>
  </si>
  <si>
    <t>Raschig Rings, ceramic</t>
  </si>
  <si>
    <r>
      <t>Height gas phase unit, H</t>
    </r>
    <r>
      <rPr>
        <vertAlign val="subscript"/>
        <sz val="10"/>
        <rFont val="Arial"/>
        <family val="2"/>
      </rPr>
      <t>OG</t>
    </r>
  </si>
  <si>
    <t>ft/s</t>
  </si>
  <si>
    <r>
      <t>Number of gas phase units, N</t>
    </r>
    <r>
      <rPr>
        <vertAlign val="subscript"/>
        <sz val="10"/>
        <rFont val="Arial"/>
        <family val="2"/>
      </rPr>
      <t>OG</t>
    </r>
  </si>
  <si>
    <r>
      <t>L</t>
    </r>
    <r>
      <rPr>
        <vertAlign val="sub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</si>
  <si>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2</t>
    </r>
  </si>
  <si>
    <r>
      <t>G</t>
    </r>
    <r>
      <rPr>
        <vertAlign val="subscript"/>
        <sz val="10"/>
        <rFont val="Arial"/>
        <family val="2"/>
      </rPr>
      <t>1</t>
    </r>
  </si>
  <si>
    <r>
      <t>y</t>
    </r>
    <r>
      <rPr>
        <vertAlign val="subscript"/>
        <sz val="10"/>
        <rFont val="Arial"/>
        <family val="2"/>
      </rPr>
      <t>1</t>
    </r>
  </si>
  <si>
    <r>
      <t>G</t>
    </r>
    <r>
      <rPr>
        <vertAlign val="subscript"/>
        <sz val="10"/>
        <rFont val="Arial"/>
        <family val="2"/>
      </rPr>
      <t>2</t>
    </r>
  </si>
  <si>
    <r>
      <t>y</t>
    </r>
    <r>
      <rPr>
        <vertAlign val="sub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</si>
  <si>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</si>
  <si>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1</t>
    </r>
  </si>
  <si>
    <t>ca = concentration in liquid phase</t>
  </si>
  <si>
    <t>pg = partial pressure in gas phase</t>
  </si>
  <si>
    <t>Substance</t>
  </si>
  <si>
    <t>DeltaH/R</t>
  </si>
  <si>
    <t>Solute</t>
  </si>
  <si>
    <t>Henry's Law constant</t>
  </si>
  <si>
    <t>Temperature factor</t>
  </si>
  <si>
    <t>C</t>
  </si>
  <si>
    <t>K</t>
  </si>
  <si>
    <t>Base Temperature</t>
  </si>
  <si>
    <t>Henry's Law constant, temp adj</t>
  </si>
  <si>
    <t>MW</t>
  </si>
  <si>
    <t>Gas Stream Out</t>
  </si>
  <si>
    <t>General</t>
  </si>
  <si>
    <t>Column operating pressure</t>
  </si>
  <si>
    <t>Conversion Factors</t>
  </si>
  <si>
    <t>Units</t>
  </si>
  <si>
    <t>Equilibrium Line</t>
  </si>
  <si>
    <t>x</t>
  </si>
  <si>
    <t>y</t>
  </si>
  <si>
    <t>kPa(g)</t>
  </si>
  <si>
    <t>psig</t>
  </si>
  <si>
    <t>torr(g)</t>
  </si>
  <si>
    <t>mm Hg(g)</t>
  </si>
  <si>
    <t>in H2O(g)</t>
  </si>
  <si>
    <t>in Hg(g)</t>
  </si>
  <si>
    <t>bar(a)</t>
  </si>
  <si>
    <t>Pa(g)</t>
  </si>
  <si>
    <t>Source:</t>
  </si>
  <si>
    <t>R. Sander(1999)</t>
  </si>
  <si>
    <t>Compilation of Henry's Law Constants for Inorganic and Organic Species of Potential Importance in Environmental Chemistry (Version 3)</t>
  </si>
  <si>
    <t>http://www.henrys-law.org</t>
  </si>
  <si>
    <t>Operating Line</t>
  </si>
  <si>
    <t>Liquid flow rate</t>
  </si>
  <si>
    <t>gpm</t>
  </si>
  <si>
    <t>Convert to atm</t>
  </si>
  <si>
    <t>HBr, hydrogen bromide</t>
  </si>
  <si>
    <t>HCHO, formaldehyde</t>
  </si>
  <si>
    <t>gpm/ft2</t>
  </si>
  <si>
    <t>Excess L to G ratio</t>
  </si>
  <si>
    <t>Column cross sectional area (empty)</t>
  </si>
  <si>
    <t>ft2</t>
  </si>
  <si>
    <t>Superficial liquid velocity, UL</t>
  </si>
  <si>
    <t>Liquid capacity factor, CL</t>
  </si>
  <si>
    <t>Superficial gas velocity, UG</t>
  </si>
  <si>
    <t>Gas density</t>
  </si>
  <si>
    <t>Gas capacity factor, CV</t>
  </si>
  <si>
    <r>
      <t>y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*</t>
    </r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</si>
  <si>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*</t>
    </r>
  </si>
  <si>
    <t>Example 1</t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</si>
  <si>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*</t>
    </r>
  </si>
  <si>
    <t>KH</t>
  </si>
  <si>
    <t>Henry's Law constant, KH x ca = pg</t>
  </si>
  <si>
    <t>DeltaH/R = temperature dependence of KH</t>
  </si>
  <si>
    <t>where KH = Henry's law constant at 298.15 K, atm per mole fraction</t>
  </si>
  <si>
    <r>
      <t>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, ammonia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</si>
  <si>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S, hydrogen sulfide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</si>
  <si>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sulfur dioxide</t>
    </r>
  </si>
  <si>
    <r>
      <t>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COOH, acetic acid</t>
    </r>
  </si>
  <si>
    <r>
      <t>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chlorine</t>
    </r>
  </si>
  <si>
    <r>
      <t>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COCH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, acetone</t>
    </r>
  </si>
  <si>
    <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N, acrylonitrile</t>
    </r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</si>
  <si>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OH, ethanol</t>
    </r>
  </si>
  <si>
    <t>HCl, hydrogen chloride</t>
  </si>
  <si>
    <r>
      <t>Relative K</t>
    </r>
    <r>
      <rPr>
        <i/>
        <vertAlign val="subscript"/>
        <sz val="10"/>
        <rFont val="Arial"/>
        <family val="2"/>
      </rPr>
      <t>GA</t>
    </r>
    <r>
      <rPr>
        <i/>
        <sz val="10"/>
        <rFont val="Arial"/>
        <family val="2"/>
      </rPr>
      <t xml:space="preserve"> for Various Packings</t>
    </r>
  </si>
  <si>
    <r>
      <t>Volume coefficient, gas K</t>
    </r>
    <r>
      <rPr>
        <vertAlign val="subscript"/>
        <sz val="10"/>
        <rFont val="Arial"/>
        <family val="2"/>
      </rPr>
      <t>GA</t>
    </r>
  </si>
  <si>
    <t>Mix Tank Vent</t>
  </si>
  <si>
    <r>
      <t>Equilibrium concentration, solute in liquid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*</t>
    </r>
  </si>
  <si>
    <t>Step 1</t>
  </si>
  <si>
    <t>Step 2</t>
  </si>
  <si>
    <r>
      <t>Slope of equilibrium curve, (L/G)</t>
    </r>
    <r>
      <rPr>
        <vertAlign val="subscript"/>
        <sz val="10"/>
        <rFont val="Arial"/>
        <family val="2"/>
      </rPr>
      <t>min</t>
    </r>
  </si>
  <si>
    <t>Step 3</t>
  </si>
  <si>
    <t>lb-mol/h</t>
  </si>
  <si>
    <t>Step 4</t>
  </si>
  <si>
    <r>
      <t>Gas molar rate, G</t>
    </r>
    <r>
      <rPr>
        <vertAlign val="subscript"/>
        <sz val="10"/>
        <rFont val="Arial"/>
        <family val="2"/>
      </rPr>
      <t>1</t>
    </r>
  </si>
  <si>
    <r>
      <t>Liquid rate, L</t>
    </r>
    <r>
      <rPr>
        <vertAlign val="subscript"/>
        <sz val="10"/>
        <rFont val="Arial"/>
        <family val="2"/>
      </rPr>
      <t>2</t>
    </r>
  </si>
  <si>
    <r>
      <t>Exit rate, gas, G</t>
    </r>
    <r>
      <rPr>
        <vertAlign val="subscript"/>
        <sz val="10"/>
        <rFont val="Arial"/>
        <family val="2"/>
      </rPr>
      <t>2</t>
    </r>
  </si>
  <si>
    <t>Step 5</t>
  </si>
  <si>
    <t>Moles</t>
  </si>
  <si>
    <r>
      <t>Liquid effluent concentration, x</t>
    </r>
    <r>
      <rPr>
        <vertAlign val="subscript"/>
        <sz val="10"/>
        <rFont val="Arial"/>
        <family val="2"/>
      </rPr>
      <t>1</t>
    </r>
  </si>
  <si>
    <r>
      <t>Concentration (mole fraction), x</t>
    </r>
    <r>
      <rPr>
        <vertAlign val="subscript"/>
        <sz val="10"/>
        <rFont val="Arial"/>
        <family val="2"/>
      </rPr>
      <t>2</t>
    </r>
  </si>
  <si>
    <r>
      <t>Concentration (volume fraction), y</t>
    </r>
    <r>
      <rPr>
        <vertAlign val="subscript"/>
        <sz val="10"/>
        <rFont val="Arial"/>
        <family val="2"/>
      </rPr>
      <t>1</t>
    </r>
  </si>
  <si>
    <r>
      <t>Desired solute concentration, y</t>
    </r>
    <r>
      <rPr>
        <vertAlign val="subscript"/>
        <sz val="10"/>
        <rFont val="Arial"/>
        <family val="2"/>
      </rPr>
      <t>2</t>
    </r>
  </si>
  <si>
    <r>
      <t>Liquid effluent molar flow rate, L</t>
    </r>
    <r>
      <rPr>
        <vertAlign val="subscript"/>
        <sz val="10"/>
        <rFont val="Arial"/>
        <family val="2"/>
      </rPr>
      <t>1</t>
    </r>
  </si>
  <si>
    <t>Step 6</t>
  </si>
  <si>
    <t>Step 7</t>
  </si>
  <si>
    <r>
      <t>Vapor equil at top, 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*</t>
    </r>
  </si>
  <si>
    <r>
      <t>Vapor equil at bottom, y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*</t>
    </r>
  </si>
  <si>
    <t>Step 8</t>
  </si>
  <si>
    <r>
      <t>LM Driving Force, (y - y*)</t>
    </r>
    <r>
      <rPr>
        <vertAlign val="subscript"/>
        <sz val="10"/>
        <rFont val="Arial"/>
        <family val="2"/>
      </rPr>
      <t>LM</t>
    </r>
  </si>
  <si>
    <r>
      <t>LM Driving Force, (1 - y)*</t>
    </r>
    <r>
      <rPr>
        <vertAlign val="subscript"/>
        <sz val="10"/>
        <rFont val="Arial"/>
        <family val="2"/>
      </rPr>
      <t>LM</t>
    </r>
  </si>
  <si>
    <t>Step 9</t>
  </si>
  <si>
    <t>Step 10</t>
  </si>
  <si>
    <r>
      <t>Gas molar velocity, G</t>
    </r>
    <r>
      <rPr>
        <vertAlign val="subscript"/>
        <sz val="10"/>
        <rFont val="Arial"/>
        <family val="2"/>
      </rPr>
      <t>m</t>
    </r>
  </si>
  <si>
    <t>Step 11</t>
  </si>
  <si>
    <t>Packed height, Z</t>
  </si>
  <si>
    <t>Other calculations</t>
  </si>
  <si>
    <r>
      <t>Liquid molar velocity, L</t>
    </r>
    <r>
      <rPr>
        <vertAlign val="subscript"/>
        <sz val="10"/>
        <rFont val="Arial"/>
        <family val="2"/>
      </rPr>
      <t>m</t>
    </r>
  </si>
  <si>
    <t>Minimum Flow Line</t>
  </si>
  <si>
    <t>CH3COCH3, acetone</t>
  </si>
  <si>
    <t>Rules of Thumb for Chemical Engineers, 5th Edition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</si>
</sst>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_);_(* \(#,##0.00000\);_(* &quot;-&quot;?????_);_(@_)"/>
    <numFmt numFmtId="171" formatCode="_(* #,##0.0_);_(* \(#,##0.0\);_(* &quot;-&quot;?_);_(@_)"/>
    <numFmt numFmtId="172" formatCode="_(* #,##0.000_);_(* \(#,##0.000\);_(* &quot;-&quot;?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_(* #,##0.0000_);_(* \(#,##0.0000\);_(* &quot;-&quot;????_);_(@_)"/>
    <numFmt numFmtId="185" formatCode="_(* #,##0.0000_);_(* \(#,##0.0000\);_(* &quot;-&quot;???_);_(@_)"/>
  </numFmts>
  <fonts count="51">
    <font>
      <sz val="10"/>
      <name val="Arial"/>
      <family val="0"/>
    </font>
    <font>
      <sz val="9"/>
      <color indexed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u val="single"/>
      <sz val="10"/>
      <color indexed="36"/>
      <name val="Arial"/>
      <family val="2"/>
    </font>
    <font>
      <i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6.5"/>
      <color indexed="8"/>
      <name val="Arial"/>
      <family val="0"/>
    </font>
    <font>
      <sz val="10.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4" fillId="33" borderId="0" xfId="53" applyFill="1" applyAlignment="1" applyProtection="1">
      <alignment/>
      <protection/>
    </xf>
    <xf numFmtId="0" fontId="0" fillId="33" borderId="0" xfId="0" applyFill="1" applyBorder="1" applyAlignment="1">
      <alignment wrapText="1"/>
    </xf>
    <xf numFmtId="0" fontId="5" fillId="33" borderId="0" xfId="0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43" fontId="0" fillId="0" borderId="0" xfId="42" applyFont="1" applyAlignment="1">
      <alignment/>
    </xf>
    <xf numFmtId="0" fontId="0" fillId="34" borderId="0" xfId="0" applyFill="1" applyAlignment="1">
      <alignment/>
    </xf>
    <xf numFmtId="11" fontId="0" fillId="0" borderId="0" xfId="0" applyNumberFormat="1" applyAlignment="1">
      <alignment/>
    </xf>
    <xf numFmtId="0" fontId="4" fillId="0" borderId="0" xfId="53" applyAlignment="1" applyProtection="1">
      <alignment/>
      <protection/>
    </xf>
    <xf numFmtId="168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0" xfId="42" applyNumberFormat="1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 horizontal="center"/>
    </xf>
    <xf numFmtId="166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167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43" fontId="7" fillId="0" borderId="0" xfId="42" applyFont="1" applyAlignment="1">
      <alignment/>
    </xf>
    <xf numFmtId="43" fontId="7" fillId="0" borderId="0" xfId="42" applyFont="1" applyAlignment="1">
      <alignment horizontal="right"/>
    </xf>
    <xf numFmtId="43" fontId="0" fillId="0" borderId="0" xfId="42" applyFont="1" applyAlignment="1">
      <alignment horizontal="right" indent="1"/>
    </xf>
    <xf numFmtId="168" fontId="7" fillId="0" borderId="0" xfId="42" applyNumberFormat="1" applyFont="1" applyAlignment="1">
      <alignment horizontal="right"/>
    </xf>
    <xf numFmtId="43" fontId="0" fillId="34" borderId="0" xfId="42" applyFont="1" applyFill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4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0" fillId="0" borderId="18" xfId="42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43" fontId="0" fillId="0" borderId="23" xfId="42" applyFont="1" applyBorder="1" applyAlignment="1">
      <alignment/>
    </xf>
    <xf numFmtId="0" fontId="0" fillId="0" borderId="24" xfId="0" applyBorder="1" applyAlignment="1">
      <alignment/>
    </xf>
    <xf numFmtId="167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167" fontId="0" fillId="0" borderId="0" xfId="0" applyNumberFormat="1" applyAlignment="1">
      <alignment/>
    </xf>
    <xf numFmtId="185" fontId="0" fillId="0" borderId="27" xfId="0" applyNumberFormat="1" applyBorder="1" applyAlignment="1">
      <alignment/>
    </xf>
    <xf numFmtId="167" fontId="0" fillId="0" borderId="25" xfId="42" applyNumberFormat="1" applyFont="1" applyBorder="1" applyAlignment="1">
      <alignment/>
    </xf>
    <xf numFmtId="167" fontId="0" fillId="0" borderId="20" xfId="42" applyNumberFormat="1" applyFont="1" applyBorder="1" applyAlignment="1">
      <alignment/>
    </xf>
    <xf numFmtId="167" fontId="0" fillId="0" borderId="24" xfId="42" applyNumberFormat="1" applyFont="1" applyBorder="1" applyAlignment="1">
      <alignment/>
    </xf>
    <xf numFmtId="167" fontId="0" fillId="0" borderId="28" xfId="0" applyNumberFormat="1" applyBorder="1" applyAlignment="1">
      <alignment/>
    </xf>
    <xf numFmtId="167" fontId="0" fillId="0" borderId="26" xfId="0" applyNumberFormat="1" applyBorder="1" applyAlignment="1">
      <alignment/>
    </xf>
    <xf numFmtId="167" fontId="7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Absorber Performance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25"/>
          <c:w val="0.66325"/>
          <c:h val="0.8095"/>
        </c:manualLayout>
      </c:layout>
      <c:scatterChart>
        <c:scatterStyle val="smoothMarker"/>
        <c:varyColors val="0"/>
        <c:ser>
          <c:idx val="2"/>
          <c:order val="0"/>
          <c:tx>
            <c:v>Operating Line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Absorber!$I$71:$I$72</c:f>
              <c:numCache/>
            </c:numRef>
          </c:xVal>
          <c:yVal>
            <c:numRef>
              <c:f>Absorber!$J$71:$J$72</c:f>
              <c:numCache/>
            </c:numRef>
          </c:yVal>
          <c:smooth val="1"/>
        </c:ser>
        <c:ser>
          <c:idx val="1"/>
          <c:order val="1"/>
          <c:tx>
            <c:v>Minimum L/G Line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Absorber!$L$71:$L$72</c:f>
              <c:numCache/>
            </c:numRef>
          </c:xVal>
          <c:yVal>
            <c:numRef>
              <c:f>Absorber!$M$71:$M$72</c:f>
              <c:numCache/>
            </c:numRef>
          </c:yVal>
          <c:smooth val="1"/>
        </c:ser>
        <c:ser>
          <c:idx val="0"/>
          <c:order val="2"/>
          <c:tx>
            <c:v>Equilibrium Line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Absorber!$F$71:$F$79</c:f>
              <c:numCache/>
            </c:numRef>
          </c:xVal>
          <c:yVal>
            <c:numRef>
              <c:f>Absorber!$G$71:$G$79</c:f>
              <c:numCache/>
            </c:numRef>
          </c:yVal>
          <c:smooth val="1"/>
        </c:ser>
        <c:axId val="24858715"/>
        <c:axId val="22401844"/>
      </c:scatterChart>
      <c:valAx>
        <c:axId val="24858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of Solute in Liquid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1844"/>
        <c:crosses val="autoZero"/>
        <c:crossBetween val="midCat"/>
        <c:dispUnits/>
      </c:valAx>
      <c:valAx>
        <c:axId val="22401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in Gas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5871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4455"/>
          <c:w val="0.259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hemengsoftware.com/" TargetMode="External" /><Relationship Id="rId3" Type="http://schemas.openxmlformats.org/officeDocument/2006/relationships/hyperlink" Target="http://www.chemengsoftware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store.elsevier.com/product.jsp?isbn=9780123877857&amp;_requestid=96716" TargetMode="External" /><Relationship Id="rId6" Type="http://schemas.openxmlformats.org/officeDocument/2006/relationships/hyperlink" Target="http://store.elsevier.com/product.jsp?isbn=9780123877857&amp;_requestid=96716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3619500</xdr:colOff>
      <xdr:row>15</xdr:row>
      <xdr:rowOff>76200</xdr:rowOff>
    </xdr:from>
    <xdr:to>
      <xdr:col>0</xdr:col>
      <xdr:colOff>5410200</xdr:colOff>
      <xdr:row>17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505075"/>
          <a:ext cx="1790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5486400</xdr:colOff>
      <xdr:row>0</xdr:row>
      <xdr:rowOff>142875</xdr:rowOff>
    </xdr:from>
    <xdr:to>
      <xdr:col>1</xdr:col>
      <xdr:colOff>85725</xdr:colOff>
      <xdr:row>11</xdr:row>
      <xdr:rowOff>47625</xdr:rowOff>
    </xdr:to>
    <xdr:pic>
      <xdr:nvPicPr>
        <xdr:cNvPr id="2" name="Picture 93" descr="Rules of Thumb for Chemical Engineers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142875"/>
          <a:ext cx="14668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46</xdr:row>
      <xdr:rowOff>19050</xdr:rowOff>
    </xdr:from>
    <xdr:to>
      <xdr:col>8</xdr:col>
      <xdr:colOff>809625</xdr:colOff>
      <xdr:row>63</xdr:row>
      <xdr:rowOff>85725</xdr:rowOff>
    </xdr:to>
    <xdr:pic>
      <xdr:nvPicPr>
        <xdr:cNvPr id="1" name="Picture 1" descr="Packed Column nomencla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743825"/>
          <a:ext cx="176212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11</xdr:row>
      <xdr:rowOff>85725</xdr:rowOff>
    </xdr:from>
    <xdr:to>
      <xdr:col>13</xdr:col>
      <xdr:colOff>342900</xdr:colOff>
      <xdr:row>45</xdr:row>
      <xdr:rowOff>38100</xdr:rowOff>
    </xdr:to>
    <xdr:graphicFrame>
      <xdr:nvGraphicFramePr>
        <xdr:cNvPr id="2" name="Chart 9"/>
        <xdr:cNvGraphicFramePr/>
      </xdr:nvGraphicFramePr>
      <xdr:xfrm>
        <a:off x="5257800" y="1866900"/>
        <a:ext cx="6800850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285750</xdr:colOff>
      <xdr:row>57</xdr:row>
      <xdr:rowOff>152400</xdr:rowOff>
    </xdr:from>
    <xdr:to>
      <xdr:col>5</xdr:col>
      <xdr:colOff>390525</xdr:colOff>
      <xdr:row>59</xdr:row>
      <xdr:rowOff>57150</xdr:rowOff>
    </xdr:to>
    <xdr:sp>
      <xdr:nvSpPr>
        <xdr:cNvPr id="3" name="Text Box 41"/>
        <xdr:cNvSpPr txBox="1">
          <a:spLocks noChangeArrowheads="1"/>
        </xdr:cNvSpPr>
      </xdr:nvSpPr>
      <xdr:spPr>
        <a:xfrm>
          <a:off x="4924425" y="10077450"/>
          <a:ext cx="71437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</a:t>
          </a:r>
        </a:p>
      </xdr:txBody>
    </xdr:sp>
    <xdr:clientData/>
  </xdr:twoCellAnchor>
  <xdr:twoCellAnchor>
    <xdr:from>
      <xdr:col>3</xdr:col>
      <xdr:colOff>742950</xdr:colOff>
      <xdr:row>58</xdr:row>
      <xdr:rowOff>85725</xdr:rowOff>
    </xdr:from>
    <xdr:to>
      <xdr:col>4</xdr:col>
      <xdr:colOff>285750</xdr:colOff>
      <xdr:row>58</xdr:row>
      <xdr:rowOff>85725</xdr:rowOff>
    </xdr:to>
    <xdr:sp>
      <xdr:nvSpPr>
        <xdr:cNvPr id="4" name="Line 42"/>
        <xdr:cNvSpPr>
          <a:spLocks/>
        </xdr:cNvSpPr>
      </xdr:nvSpPr>
      <xdr:spPr>
        <a:xfrm flipH="1">
          <a:off x="4629150" y="102108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47625</xdr:colOff>
      <xdr:row>0</xdr:row>
      <xdr:rowOff>152400</xdr:rowOff>
    </xdr:from>
    <xdr:ext cx="3829050" cy="552450"/>
    <xdr:sp>
      <xdr:nvSpPr>
        <xdr:cNvPr id="5" name="Text Box 44"/>
        <xdr:cNvSpPr txBox="1">
          <a:spLocks noChangeArrowheads="1"/>
        </xdr:cNvSpPr>
      </xdr:nvSpPr>
      <xdr:spPr>
        <a:xfrm>
          <a:off x="657225" y="152400"/>
          <a:ext cx="38290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Problem Statement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 the height of a transfer unit, the number of transfer units, and the required packing depth for a packed-bed absorber.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23</xdr:row>
      <xdr:rowOff>142875</xdr:rowOff>
    </xdr:from>
    <xdr:to>
      <xdr:col>6</xdr:col>
      <xdr:colOff>0</xdr:colOff>
      <xdr:row>40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67150"/>
          <a:ext cx="3467100" cy="2619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mengsoftware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enrys-law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3.00390625" style="1" customWidth="1"/>
    <col min="2" max="2" width="90.7109375" style="1" customWidth="1"/>
  </cols>
  <sheetData>
    <row r="1" ht="12.75"/>
    <row r="2" ht="12.75">
      <c r="B2" s="2"/>
    </row>
    <row r="3" ht="12.75">
      <c r="A3" s="3" t="s">
        <v>4</v>
      </c>
    </row>
    <row r="4" ht="12.75">
      <c r="A4" s="3" t="s">
        <v>150</v>
      </c>
    </row>
    <row r="5" ht="12.75">
      <c r="A5" s="3" t="s">
        <v>0</v>
      </c>
    </row>
    <row r="6" ht="12.75"/>
    <row r="7" ht="12.75"/>
    <row r="8" ht="12.75"/>
    <row r="9" ht="12.75"/>
    <row r="10" ht="12.75"/>
    <row r="11" ht="12.75">
      <c r="A11" s="4"/>
    </row>
    <row r="12" ht="12.75"/>
    <row r="16" ht="12.75"/>
    <row r="17" ht="12.75">
      <c r="A17" s="1" t="s">
        <v>1</v>
      </c>
    </row>
    <row r="18" ht="12.75">
      <c r="A18" s="5" t="s">
        <v>2</v>
      </c>
    </row>
    <row r="19" ht="38.25">
      <c r="A19" s="6" t="s">
        <v>3</v>
      </c>
    </row>
    <row r="20" ht="14.25">
      <c r="A20" s="7"/>
    </row>
    <row r="21" ht="14.25">
      <c r="A21" s="7"/>
    </row>
    <row r="22" ht="14.25">
      <c r="A22" s="7"/>
    </row>
  </sheetData>
  <sheetProtection/>
  <hyperlinks>
    <hyperlink ref="A18" r:id="rId1" display="www.chemengsoftware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7109375" style="0" customWidth="1"/>
    <col min="3" max="3" width="16.421875" style="0" customWidth="1"/>
    <col min="4" max="4" width="11.28125" style="0" bestFit="1" customWidth="1"/>
    <col min="6" max="6" width="16.57421875" style="0" bestFit="1" customWidth="1"/>
    <col min="7" max="7" width="9.7109375" style="0" bestFit="1" customWidth="1"/>
    <col min="8" max="8" width="20.8515625" style="0" customWidth="1"/>
    <col min="9" max="9" width="12.7109375" style="0" bestFit="1" customWidth="1"/>
    <col min="12" max="12" width="9.7109375" style="0" bestFit="1" customWidth="1"/>
  </cols>
  <sheetData>
    <row r="6" ht="12.75">
      <c r="A6" s="8" t="s">
        <v>5</v>
      </c>
    </row>
    <row r="7" ht="12.75">
      <c r="A7" s="10" t="s">
        <v>63</v>
      </c>
    </row>
    <row r="8" spans="1:4" ht="12.75">
      <c r="A8" s="10"/>
      <c r="B8" t="s">
        <v>64</v>
      </c>
      <c r="C8" s="11" t="s">
        <v>25</v>
      </c>
      <c r="D8" s="29">
        <v>1</v>
      </c>
    </row>
    <row r="9" spans="1:4" ht="12.75">
      <c r="A9" s="8"/>
      <c r="B9" t="s">
        <v>13</v>
      </c>
      <c r="C9" t="s">
        <v>16</v>
      </c>
      <c r="D9" s="30">
        <v>70</v>
      </c>
    </row>
    <row r="10" spans="1:4" ht="12.75">
      <c r="A10" s="8"/>
      <c r="B10" t="s">
        <v>89</v>
      </c>
      <c r="D10" s="30">
        <v>0.75</v>
      </c>
    </row>
    <row r="11" spans="1:4" ht="12.75">
      <c r="A11" s="8"/>
      <c r="D11" s="12"/>
    </row>
    <row r="12" spans="1:4" ht="12.75">
      <c r="A12" s="10" t="s">
        <v>29</v>
      </c>
      <c r="D12" s="12"/>
    </row>
    <row r="13" spans="2:4" ht="12.75">
      <c r="B13" t="s">
        <v>8</v>
      </c>
      <c r="D13" s="30" t="s">
        <v>116</v>
      </c>
    </row>
    <row r="14" spans="2:4" ht="12.75">
      <c r="B14" t="s">
        <v>14</v>
      </c>
      <c r="C14" t="s">
        <v>15</v>
      </c>
      <c r="D14" s="30">
        <f>260*29</f>
        <v>7540</v>
      </c>
    </row>
    <row r="15" spans="2:4" ht="12.75">
      <c r="B15" t="s">
        <v>9</v>
      </c>
      <c r="D15" s="30" t="s">
        <v>24</v>
      </c>
    </row>
    <row r="16" spans="2:4" ht="12.75">
      <c r="B16" t="s">
        <v>10</v>
      </c>
      <c r="D16" s="30">
        <v>28.96</v>
      </c>
    </row>
    <row r="17" spans="2:4" ht="12.75">
      <c r="B17" t="s">
        <v>11</v>
      </c>
      <c r="D17" s="30" t="s">
        <v>149</v>
      </c>
    </row>
    <row r="18" spans="2:4" ht="12.75">
      <c r="B18" t="s">
        <v>10</v>
      </c>
      <c r="D18" s="30">
        <f>VLOOKUP(SoluteName,H_Data,4,FALSE)</f>
        <v>58.08</v>
      </c>
    </row>
    <row r="19" spans="2:4" ht="15.75">
      <c r="B19" t="s">
        <v>131</v>
      </c>
      <c r="D19" s="32">
        <v>0.015</v>
      </c>
    </row>
    <row r="21" spans="1:4" ht="12.75">
      <c r="A21" s="10" t="s">
        <v>62</v>
      </c>
      <c r="D21" s="12"/>
    </row>
    <row r="22" spans="2:4" ht="15.75">
      <c r="B22" t="s">
        <v>132</v>
      </c>
      <c r="D22" s="32">
        <v>0.00015</v>
      </c>
    </row>
    <row r="24" spans="1:4" ht="12.75">
      <c r="A24" s="10" t="s">
        <v>6</v>
      </c>
      <c r="D24" s="30"/>
    </row>
    <row r="25" spans="2:4" ht="12.75">
      <c r="B25" t="s">
        <v>9</v>
      </c>
      <c r="D25" s="30" t="s">
        <v>23</v>
      </c>
    </row>
    <row r="26" spans="2:4" ht="12.75">
      <c r="B26" t="s">
        <v>10</v>
      </c>
      <c r="D26" s="29">
        <v>18.02</v>
      </c>
    </row>
    <row r="27" spans="2:4" ht="12.75">
      <c r="B27" t="s">
        <v>11</v>
      </c>
      <c r="D27" s="31" t="str">
        <f>SoluteName</f>
        <v>CH3COCH3, acetone</v>
      </c>
    </row>
    <row r="28" spans="2:4" ht="15.75">
      <c r="B28" t="s">
        <v>130</v>
      </c>
      <c r="D28" s="60">
        <v>0</v>
      </c>
    </row>
    <row r="29" spans="2:4" ht="12.75">
      <c r="B29" t="s">
        <v>17</v>
      </c>
      <c r="C29" t="s">
        <v>18</v>
      </c>
      <c r="D29" s="30">
        <v>62.3</v>
      </c>
    </row>
    <row r="30" spans="2:4" ht="12.75">
      <c r="B30" t="s">
        <v>13</v>
      </c>
      <c r="C30" t="s">
        <v>16</v>
      </c>
      <c r="D30" s="30">
        <v>70</v>
      </c>
    </row>
    <row r="32" spans="1:4" ht="12.75">
      <c r="A32" s="10" t="s">
        <v>7</v>
      </c>
      <c r="D32" s="30"/>
    </row>
    <row r="33" spans="2:4" ht="12.75">
      <c r="B33" t="s">
        <v>19</v>
      </c>
      <c r="C33" t="s">
        <v>20</v>
      </c>
      <c r="D33" s="30">
        <f>1/0.3048</f>
        <v>3.280839895013123</v>
      </c>
    </row>
    <row r="34" spans="2:4" ht="12.75">
      <c r="B34" t="s">
        <v>21</v>
      </c>
      <c r="D34" s="30" t="s">
        <v>34</v>
      </c>
    </row>
    <row r="35" spans="2:4" ht="15.75">
      <c r="B35" t="s">
        <v>115</v>
      </c>
      <c r="C35" t="s">
        <v>27</v>
      </c>
      <c r="D35" s="29">
        <v>20</v>
      </c>
    </row>
    <row r="37" ht="12.75">
      <c r="D37" s="12"/>
    </row>
    <row r="38" spans="1:4" ht="12.75">
      <c r="A38" s="8" t="s">
        <v>26</v>
      </c>
      <c r="D38" s="12"/>
    </row>
    <row r="39" spans="2:4" ht="12.75">
      <c r="B39" t="s">
        <v>55</v>
      </c>
      <c r="C39" t="s">
        <v>25</v>
      </c>
      <c r="D39" s="12">
        <f>'Henrys Law'!D15</f>
        <v>1.5903117992813607</v>
      </c>
    </row>
    <row r="40" spans="2:4" ht="12.75">
      <c r="B40" t="s">
        <v>12</v>
      </c>
      <c r="C40" t="s">
        <v>25</v>
      </c>
      <c r="D40" s="12">
        <f>IF(OR(C8="atm",C8="bar(a)"),D8*VLOOKUP(C8,PressuretoAtm,2,FALSE),D8*VLOOKUP(C8,PressuretoAtm,2,FALSE)+101325)</f>
        <v>1</v>
      </c>
    </row>
    <row r="41" spans="2:4" ht="12.75">
      <c r="B41" t="s">
        <v>90</v>
      </c>
      <c r="C41" t="s">
        <v>91</v>
      </c>
      <c r="D41" s="12">
        <f>PI()*D33^2/4</f>
        <v>8.453955472258476</v>
      </c>
    </row>
    <row r="42" spans="2:4" ht="15.75">
      <c r="B42" t="s">
        <v>124</v>
      </c>
      <c r="C42" t="s">
        <v>122</v>
      </c>
      <c r="D42" s="12">
        <f>D14*(1-D19)/D16+D14*D19/D18</f>
        <v>258.40104333135474</v>
      </c>
    </row>
    <row r="44" ht="12.75">
      <c r="A44" s="8" t="s">
        <v>22</v>
      </c>
    </row>
    <row r="45" spans="1:4" ht="15.75">
      <c r="A45" t="s">
        <v>118</v>
      </c>
      <c r="B45" t="s">
        <v>117</v>
      </c>
      <c r="D45" s="25">
        <f>D19/D39</f>
        <v>0.00943211262519607</v>
      </c>
    </row>
    <row r="46" spans="1:4" ht="16.5" thickBot="1">
      <c r="A46" t="s">
        <v>119</v>
      </c>
      <c r="B46" t="s">
        <v>120</v>
      </c>
      <c r="D46" s="26">
        <f>(D22-D19)/(D28-D45)</f>
        <v>1.574408681288547</v>
      </c>
    </row>
    <row r="47" spans="1:12" ht="15.75">
      <c r="A47" t="s">
        <v>121</v>
      </c>
      <c r="B47" t="s">
        <v>125</v>
      </c>
      <c r="C47" t="s">
        <v>122</v>
      </c>
      <c r="D47" s="17">
        <f>(1+D10)*D42*D46</f>
        <v>711.9504802810801</v>
      </c>
      <c r="F47" s="34" t="s">
        <v>30</v>
      </c>
      <c r="G47" s="35"/>
      <c r="H47" s="35"/>
      <c r="I47" s="35"/>
      <c r="J47" s="35"/>
      <c r="K47" s="35"/>
      <c r="L47" s="36"/>
    </row>
    <row r="48" spans="1:12" ht="15.75">
      <c r="A48" t="s">
        <v>123</v>
      </c>
      <c r="B48" t="s">
        <v>126</v>
      </c>
      <c r="C48" t="s">
        <v>122</v>
      </c>
      <c r="D48" s="12">
        <f>D42*(1-D19)/(1-D22)</f>
        <v>254.5632121632089</v>
      </c>
      <c r="F48" s="41" t="s">
        <v>42</v>
      </c>
      <c r="G48" s="42">
        <f>D47</f>
        <v>711.9504802810801</v>
      </c>
      <c r="H48" s="37"/>
      <c r="I48" s="37"/>
      <c r="J48" s="37"/>
      <c r="K48" s="48" t="s">
        <v>46</v>
      </c>
      <c r="L48" s="49">
        <f>D48</f>
        <v>254.5632121632089</v>
      </c>
    </row>
    <row r="49" spans="1:12" ht="15.75">
      <c r="A49" t="s">
        <v>127</v>
      </c>
      <c r="B49" t="s">
        <v>128</v>
      </c>
      <c r="D49" s="17">
        <f>D47*D28+D42*D19-D48*D22</f>
        <v>3.8378311681458395</v>
      </c>
      <c r="F49" s="43" t="s">
        <v>43</v>
      </c>
      <c r="G49" s="56">
        <f>D28</f>
        <v>0</v>
      </c>
      <c r="H49" s="37"/>
      <c r="I49" s="37"/>
      <c r="J49" s="37"/>
      <c r="K49" s="50" t="s">
        <v>47</v>
      </c>
      <c r="L49" s="55">
        <f>D22</f>
        <v>0.00015</v>
      </c>
    </row>
    <row r="50" spans="2:12" ht="15.75">
      <c r="B50" t="s">
        <v>129</v>
      </c>
      <c r="D50" s="53">
        <f>D49/(D49*D47*(1-D28))</f>
        <v>0.0014045920716356526</v>
      </c>
      <c r="E50" s="25"/>
      <c r="F50" s="39"/>
      <c r="G50" s="37"/>
      <c r="H50" s="37"/>
      <c r="I50" s="37"/>
      <c r="J50" s="37"/>
      <c r="K50" s="44" t="s">
        <v>98</v>
      </c>
      <c r="L50" s="54">
        <f>G49*D$39</f>
        <v>0</v>
      </c>
    </row>
    <row r="51" spans="2:12" ht="15.75">
      <c r="B51" t="s">
        <v>133</v>
      </c>
      <c r="D51" s="17">
        <f>D42+D47-D48</f>
        <v>715.7883114492261</v>
      </c>
      <c r="F51" s="39"/>
      <c r="G51" s="37"/>
      <c r="H51" s="37"/>
      <c r="I51" s="37"/>
      <c r="J51" s="37"/>
      <c r="K51" s="37"/>
      <c r="L51" s="40"/>
    </row>
    <row r="52" spans="1:12" ht="15.75">
      <c r="A52" t="s">
        <v>134</v>
      </c>
      <c r="B52" t="s">
        <v>143</v>
      </c>
      <c r="C52" t="s">
        <v>28</v>
      </c>
      <c r="D52" s="17">
        <f>(D42+D48)/2/D41</f>
        <v>30.33871287693955</v>
      </c>
      <c r="F52" s="39"/>
      <c r="G52" s="37"/>
      <c r="H52" s="37"/>
      <c r="I52" s="37"/>
      <c r="J52" s="37"/>
      <c r="K52" s="37"/>
      <c r="L52" s="40"/>
    </row>
    <row r="53" spans="1:12" ht="15.75">
      <c r="A53" t="s">
        <v>135</v>
      </c>
      <c r="B53" t="s">
        <v>137</v>
      </c>
      <c r="D53" s="26">
        <f>D39*D50</f>
        <v>0.0022337393446992286</v>
      </c>
      <c r="F53" s="39"/>
      <c r="G53" s="37"/>
      <c r="H53" s="37"/>
      <c r="I53" s="37"/>
      <c r="J53" s="37"/>
      <c r="K53" s="37"/>
      <c r="L53" s="40"/>
    </row>
    <row r="54" spans="2:12" ht="15.75">
      <c r="B54" t="s">
        <v>136</v>
      </c>
      <c r="D54" s="26">
        <f>D39*D28</f>
        <v>0</v>
      </c>
      <c r="F54" s="39"/>
      <c r="G54" s="37"/>
      <c r="H54" s="37"/>
      <c r="I54" s="37"/>
      <c r="J54" s="37"/>
      <c r="K54" s="37"/>
      <c r="L54" s="40"/>
    </row>
    <row r="55" spans="1:12" ht="15.75">
      <c r="A55" t="s">
        <v>138</v>
      </c>
      <c r="B55" t="s">
        <v>139</v>
      </c>
      <c r="D55" s="16">
        <f>((D19-D53)-(D22-D54))/LN((D19-D53)/(D22-D54))</f>
        <v>0.0028389899501191896</v>
      </c>
      <c r="F55" s="39"/>
      <c r="G55" s="37"/>
      <c r="H55" s="37"/>
      <c r="I55" s="37"/>
      <c r="J55" s="37"/>
      <c r="K55" s="37"/>
      <c r="L55" s="40"/>
    </row>
    <row r="56" spans="2:12" ht="15.75">
      <c r="B56" t="s">
        <v>140</v>
      </c>
      <c r="D56" s="16">
        <f>((1-D19)-(1-D53))/LN((1-D19)/(1-D53))</f>
        <v>0.9913694306784838</v>
      </c>
      <c r="F56" s="39"/>
      <c r="G56" s="37"/>
      <c r="H56" s="37"/>
      <c r="I56" s="37"/>
      <c r="J56" s="37"/>
      <c r="K56" s="37"/>
      <c r="L56" s="40"/>
    </row>
    <row r="57" spans="1:12" ht="15.75">
      <c r="A57" t="s">
        <v>141</v>
      </c>
      <c r="B57" t="s">
        <v>41</v>
      </c>
      <c r="D57" s="17">
        <f>(D19-D22)/(D55)</f>
        <v>5.230733556973863</v>
      </c>
      <c r="F57" s="39"/>
      <c r="G57" s="37"/>
      <c r="H57" s="37"/>
      <c r="I57" s="37"/>
      <c r="J57" s="37"/>
      <c r="K57" s="37"/>
      <c r="L57" s="40"/>
    </row>
    <row r="58" spans="1:12" ht="15.75">
      <c r="A58" t="s">
        <v>142</v>
      </c>
      <c r="B58" t="s">
        <v>39</v>
      </c>
      <c r="C58" t="s">
        <v>20</v>
      </c>
      <c r="D58" s="17">
        <f>D52/(D35*D56)</f>
        <v>1.5301416373196024</v>
      </c>
      <c r="F58" s="39"/>
      <c r="G58" s="37"/>
      <c r="H58" s="37"/>
      <c r="I58" s="37"/>
      <c r="J58" s="37"/>
      <c r="K58" s="37"/>
      <c r="L58" s="40"/>
    </row>
    <row r="59" spans="1:12" ht="12.75">
      <c r="A59" t="s">
        <v>144</v>
      </c>
      <c r="B59" t="s">
        <v>145</v>
      </c>
      <c r="C59" t="s">
        <v>20</v>
      </c>
      <c r="D59" s="33">
        <f>D57*D58</f>
        <v>8.003763209250575</v>
      </c>
      <c r="F59" s="39"/>
      <c r="G59" s="37"/>
      <c r="H59" s="37"/>
      <c r="I59" s="37"/>
      <c r="J59" s="37"/>
      <c r="K59" s="37"/>
      <c r="L59" s="40"/>
    </row>
    <row r="60" spans="4:12" ht="12.75">
      <c r="D60" s="17">
        <f>D59*0.3048</f>
        <v>2.4395470261795755</v>
      </c>
      <c r="F60" s="39"/>
      <c r="G60" s="37"/>
      <c r="H60" s="37"/>
      <c r="I60" s="37"/>
      <c r="J60" s="37"/>
      <c r="K60" s="37"/>
      <c r="L60" s="40"/>
    </row>
    <row r="61" spans="1:12" ht="12.75">
      <c r="A61" s="9" t="s">
        <v>146</v>
      </c>
      <c r="F61" s="39"/>
      <c r="G61" s="37"/>
      <c r="H61" s="37"/>
      <c r="I61" s="37"/>
      <c r="J61" s="37"/>
      <c r="K61" s="37"/>
      <c r="L61" s="40"/>
    </row>
    <row r="62" spans="2:12" ht="12.75">
      <c r="B62" t="s">
        <v>95</v>
      </c>
      <c r="C62" t="s">
        <v>18</v>
      </c>
      <c r="D62" s="26">
        <f>D16/359*(492/(459.9+SystemTemperature))*D40/1</f>
        <v>0.0748988745971411</v>
      </c>
      <c r="E62" s="17"/>
      <c r="F62" s="39"/>
      <c r="G62" s="37"/>
      <c r="H62" s="37"/>
      <c r="I62" s="37"/>
      <c r="J62" s="37"/>
      <c r="K62" s="37"/>
      <c r="L62" s="40"/>
    </row>
    <row r="63" spans="2:12" ht="15.75">
      <c r="B63" t="s">
        <v>94</v>
      </c>
      <c r="C63" t="s">
        <v>40</v>
      </c>
      <c r="D63" s="12">
        <f>D14/3600/D62/D41</f>
        <v>3.3077569976378256</v>
      </c>
      <c r="F63" s="41" t="s">
        <v>44</v>
      </c>
      <c r="G63" s="45">
        <f>D42</f>
        <v>258.40104333135474</v>
      </c>
      <c r="H63" s="37"/>
      <c r="I63" s="37"/>
      <c r="J63" s="37"/>
      <c r="K63" s="48" t="s">
        <v>48</v>
      </c>
      <c r="L63" s="49">
        <f>D51</f>
        <v>715.7883114492261</v>
      </c>
    </row>
    <row r="64" spans="2:12" ht="15.75">
      <c r="B64" t="s">
        <v>92</v>
      </c>
      <c r="C64" t="s">
        <v>88</v>
      </c>
      <c r="D64" s="12">
        <f>(D67/60)/(D29*D41)*7.48</f>
        <v>3.0367351664546423</v>
      </c>
      <c r="F64" s="46" t="s">
        <v>45</v>
      </c>
      <c r="G64" s="57">
        <f>D19</f>
        <v>0.015</v>
      </c>
      <c r="H64" s="37"/>
      <c r="I64" s="37"/>
      <c r="J64" s="37"/>
      <c r="K64" s="50" t="s">
        <v>49</v>
      </c>
      <c r="L64" s="51">
        <f>D50</f>
        <v>0.0014045920716356526</v>
      </c>
    </row>
    <row r="65" spans="2:12" ht="16.5" thickBot="1">
      <c r="B65" t="s">
        <v>96</v>
      </c>
      <c r="C65" t="s">
        <v>40</v>
      </c>
      <c r="D65" s="12">
        <f>D63*(D62/(D29-D62))^0.5</f>
        <v>0.11475944452183985</v>
      </c>
      <c r="F65" s="47" t="s">
        <v>97</v>
      </c>
      <c r="G65" s="59">
        <f>D53</f>
        <v>0.0022337393446992286</v>
      </c>
      <c r="H65" s="38"/>
      <c r="I65" s="38"/>
      <c r="J65" s="38"/>
      <c r="K65" s="52" t="s">
        <v>100</v>
      </c>
      <c r="L65" s="58">
        <f>D45</f>
        <v>0.00943211262519607</v>
      </c>
    </row>
    <row r="66" spans="2:4" ht="12.75">
      <c r="B66" t="s">
        <v>93</v>
      </c>
      <c r="C66" t="s">
        <v>88</v>
      </c>
      <c r="D66" s="12">
        <f>D64*(D29/(D29-D62))^0.5</f>
        <v>3.038562239774044</v>
      </c>
    </row>
    <row r="67" spans="2:12" ht="12.75">
      <c r="B67" t="s">
        <v>83</v>
      </c>
      <c r="C67" t="s">
        <v>15</v>
      </c>
      <c r="D67" s="17">
        <f>D47*(1-D28)*D26+D47*D28*D18</f>
        <v>12829.347654665064</v>
      </c>
      <c r="L67" s="28"/>
    </row>
    <row r="68" spans="3:4" ht="12.75">
      <c r="C68" t="s">
        <v>84</v>
      </c>
      <c r="D68" s="12">
        <f>D67/D29/60*7.48</f>
        <v>25.672423878248978</v>
      </c>
    </row>
    <row r="69" spans="2:12" ht="15.75">
      <c r="B69" t="s">
        <v>147</v>
      </c>
      <c r="C69" t="s">
        <v>28</v>
      </c>
      <c r="D69" s="12">
        <f>G48/D41</f>
        <v>84.21507336031453</v>
      </c>
      <c r="F69" s="8" t="s">
        <v>67</v>
      </c>
      <c r="I69" s="8" t="s">
        <v>82</v>
      </c>
      <c r="L69" s="8" t="s">
        <v>148</v>
      </c>
    </row>
    <row r="70" spans="6:13" ht="12.75">
      <c r="F70" t="s">
        <v>68</v>
      </c>
      <c r="G70" t="s">
        <v>69</v>
      </c>
      <c r="I70" t="s">
        <v>68</v>
      </c>
      <c r="J70" t="s">
        <v>69</v>
      </c>
      <c r="L70" t="s">
        <v>68</v>
      </c>
      <c r="M70" t="s">
        <v>69</v>
      </c>
    </row>
    <row r="71" spans="6:13" ht="12.75">
      <c r="F71" s="19">
        <v>0</v>
      </c>
      <c r="G71" s="16">
        <f>(F71/$D$39)</f>
        <v>0</v>
      </c>
      <c r="I71">
        <f>G49</f>
        <v>0</v>
      </c>
      <c r="J71">
        <f>L49</f>
        <v>0.00015</v>
      </c>
      <c r="L71" s="17">
        <f>D28</f>
        <v>0</v>
      </c>
      <c r="M71" s="25">
        <f>D22</f>
        <v>0.00015</v>
      </c>
    </row>
    <row r="72" spans="4:13" ht="12.75">
      <c r="D72" s="17">
        <f>D67/3600</f>
        <v>3.5637076818514064</v>
      </c>
      <c r="F72" s="19">
        <f aca="true" t="shared" si="0" ref="F72:F79">G72/D$39</f>
        <v>0.0011790140781495087</v>
      </c>
      <c r="G72" s="16">
        <f>($G$79-$G$71)/8+G71</f>
        <v>0.001875</v>
      </c>
      <c r="I72" s="19">
        <f>L64</f>
        <v>0.0014045920716356526</v>
      </c>
      <c r="J72" s="27">
        <f>G64</f>
        <v>0.015</v>
      </c>
      <c r="L72" s="25">
        <f>D45</f>
        <v>0.00943211262519607</v>
      </c>
      <c r="M72" s="25">
        <f>D19</f>
        <v>0.015</v>
      </c>
    </row>
    <row r="73" spans="4:7" ht="12.75">
      <c r="D73" s="12"/>
      <c r="F73" s="19">
        <f t="shared" si="0"/>
        <v>0.0023580281562990174</v>
      </c>
      <c r="G73" s="16">
        <f aca="true" t="shared" si="1" ref="G73:G78">($G$79-$G$71)/8+G72</f>
        <v>0.00375</v>
      </c>
    </row>
    <row r="74" spans="6:7" ht="12.75">
      <c r="F74" s="19">
        <f t="shared" si="0"/>
        <v>0.003537042234448526</v>
      </c>
      <c r="G74" s="16">
        <f t="shared" si="1"/>
        <v>0.005625</v>
      </c>
    </row>
    <row r="75" spans="6:7" ht="12.75">
      <c r="F75" s="19">
        <f t="shared" si="0"/>
        <v>0.004716056312598035</v>
      </c>
      <c r="G75" s="16">
        <f t="shared" si="1"/>
        <v>0.0075</v>
      </c>
    </row>
    <row r="76" spans="6:7" ht="12.75">
      <c r="F76" s="19">
        <f t="shared" si="0"/>
        <v>0.005895070390747543</v>
      </c>
      <c r="G76" s="16">
        <f t="shared" si="1"/>
        <v>0.009375</v>
      </c>
    </row>
    <row r="77" spans="4:7" ht="12.75">
      <c r="D77" s="12"/>
      <c r="F77" s="19">
        <f t="shared" si="0"/>
        <v>0.007074084468897052</v>
      </c>
      <c r="G77" s="16">
        <f t="shared" si="1"/>
        <v>0.01125</v>
      </c>
    </row>
    <row r="78" spans="6:7" ht="12.75">
      <c r="F78" s="19">
        <f t="shared" si="0"/>
        <v>0.008253098547046561</v>
      </c>
      <c r="G78" s="16">
        <f t="shared" si="1"/>
        <v>0.013125</v>
      </c>
    </row>
    <row r="79" spans="6:8" ht="12.75">
      <c r="F79" s="19">
        <f t="shared" si="0"/>
        <v>0.00943211262519607</v>
      </c>
      <c r="G79" s="16">
        <f>M72</f>
        <v>0.015</v>
      </c>
      <c r="H79" s="17"/>
    </row>
    <row r="80" spans="6:7" ht="12.75">
      <c r="F80" s="18"/>
      <c r="G80" s="16"/>
    </row>
    <row r="81" ht="12.75">
      <c r="G81" s="16"/>
    </row>
    <row r="82" ht="12.75">
      <c r="G82" s="16"/>
    </row>
    <row r="83" spans="5:7" ht="12.75">
      <c r="E83" s="17"/>
      <c r="G83" s="16"/>
    </row>
    <row r="84" spans="4:7" ht="12.75">
      <c r="D84" s="12"/>
      <c r="G84" s="16"/>
    </row>
    <row r="85" spans="4:7" ht="12.75">
      <c r="D85" s="12"/>
      <c r="G85" s="16"/>
    </row>
    <row r="86" spans="4:7" ht="12.75">
      <c r="D86" s="12"/>
      <c r="G86" s="16"/>
    </row>
    <row r="87" spans="4:7" ht="12.75">
      <c r="D87" s="12"/>
      <c r="G87" s="16"/>
    </row>
    <row r="88" spans="4:7" ht="12.75">
      <c r="D88" s="12"/>
      <c r="G88" s="16"/>
    </row>
    <row r="89" spans="4:7" ht="12.75">
      <c r="D89" s="12"/>
      <c r="G89" s="16"/>
    </row>
    <row r="90" spans="4:7" ht="12.75">
      <c r="D90" s="12"/>
      <c r="G90" s="16"/>
    </row>
    <row r="91" spans="4:7" ht="12.75">
      <c r="D91" s="25"/>
      <c r="G91" s="16"/>
    </row>
    <row r="92" ht="12.75">
      <c r="G92" s="16"/>
    </row>
    <row r="93" spans="4:7" ht="12.75">
      <c r="D93" s="17"/>
      <c r="G93" s="16"/>
    </row>
    <row r="94" ht="12.75">
      <c r="G94" s="16"/>
    </row>
    <row r="95" ht="12.75">
      <c r="G95" s="16"/>
    </row>
    <row r="96" ht="12.75">
      <c r="G96" s="16"/>
    </row>
    <row r="97" spans="4:7" ht="12.75">
      <c r="D97" s="12"/>
      <c r="G97" s="16"/>
    </row>
    <row r="98" spans="4:7" ht="12.75">
      <c r="D98" s="12"/>
      <c r="G98" s="16"/>
    </row>
    <row r="99" spans="4:7" ht="12.75">
      <c r="D99" s="16"/>
      <c r="G99" s="16"/>
    </row>
    <row r="100" ht="12.75">
      <c r="G100" s="16"/>
    </row>
    <row r="101" spans="4:7" ht="12.75">
      <c r="D101" s="12"/>
      <c r="G101" s="16"/>
    </row>
    <row r="102" ht="12.75">
      <c r="G102" s="16"/>
    </row>
    <row r="103" spans="4:7" ht="12.75">
      <c r="D103" s="17"/>
      <c r="G103" s="16"/>
    </row>
    <row r="104" spans="4:7" ht="12.75">
      <c r="D104" s="17"/>
      <c r="G104" s="16"/>
    </row>
    <row r="105" spans="4:7" ht="12.75">
      <c r="D105" s="16"/>
      <c r="G105" s="16"/>
    </row>
    <row r="106" ht="12.75">
      <c r="G106" s="16"/>
    </row>
    <row r="107" spans="4:7" ht="12.75">
      <c r="D107" s="17"/>
      <c r="G107" s="16"/>
    </row>
    <row r="108" ht="12.75">
      <c r="G108" s="16"/>
    </row>
    <row r="109" spans="4:7" ht="12.75">
      <c r="D109" s="12"/>
      <c r="G109" s="16"/>
    </row>
    <row r="110" ht="12.75">
      <c r="G110" s="16"/>
    </row>
    <row r="111" ht="12.75">
      <c r="G111" s="16"/>
    </row>
    <row r="112" ht="12.75">
      <c r="G112" s="16"/>
    </row>
    <row r="113" ht="12.75">
      <c r="G113" s="16"/>
    </row>
    <row r="114" ht="12.75">
      <c r="G114" s="16"/>
    </row>
    <row r="115" ht="12.75">
      <c r="G115" s="16"/>
    </row>
    <row r="116" ht="12.75">
      <c r="G116" s="16"/>
    </row>
    <row r="117" ht="12.75">
      <c r="G117" s="16"/>
    </row>
    <row r="118" ht="12.75">
      <c r="G118" s="16"/>
    </row>
    <row r="119" ht="12.75">
      <c r="G119" s="16"/>
    </row>
    <row r="120" ht="12.75">
      <c r="G120" s="16"/>
    </row>
    <row r="121" ht="12.75">
      <c r="G121" s="16"/>
    </row>
    <row r="122" ht="12.75">
      <c r="G122" s="16"/>
    </row>
    <row r="123" ht="12.75">
      <c r="G123" s="16"/>
    </row>
    <row r="124" ht="12.75">
      <c r="G124" s="16"/>
    </row>
    <row r="125" ht="12.75">
      <c r="G125" s="16"/>
    </row>
    <row r="126" ht="12.75">
      <c r="G126" s="16"/>
    </row>
    <row r="127" ht="12.75">
      <c r="G127" s="16"/>
    </row>
    <row r="128" ht="12.75">
      <c r="G128" s="16"/>
    </row>
    <row r="129" ht="12.75">
      <c r="G129" s="16"/>
    </row>
    <row r="130" ht="12.75">
      <c r="G130" s="16"/>
    </row>
    <row r="131" ht="12.75">
      <c r="G131" s="16"/>
    </row>
    <row r="132" ht="12.75">
      <c r="G132" s="16"/>
    </row>
    <row r="133" ht="12.75">
      <c r="G133" s="16"/>
    </row>
    <row r="134" ht="12.75">
      <c r="G134" s="16"/>
    </row>
    <row r="135" ht="12.75">
      <c r="G135" s="16"/>
    </row>
    <row r="136" ht="12.75">
      <c r="G136" s="16"/>
    </row>
    <row r="137" ht="12.75">
      <c r="G137" s="16"/>
    </row>
    <row r="138" ht="12.75">
      <c r="G138" s="16"/>
    </row>
    <row r="139" ht="12.75">
      <c r="G139" s="16"/>
    </row>
    <row r="140" ht="12.75">
      <c r="G140" s="16"/>
    </row>
    <row r="141" ht="12.75">
      <c r="G141" s="16"/>
    </row>
    <row r="142" ht="12.75">
      <c r="G142" s="16"/>
    </row>
    <row r="143" ht="12.75">
      <c r="G143" s="16"/>
    </row>
    <row r="144" ht="12.75">
      <c r="G144" s="16"/>
    </row>
  </sheetData>
  <sheetProtection/>
  <dataValidations count="3">
    <dataValidation type="list" allowBlank="1" showInputMessage="1" showErrorMessage="1" sqref="D34">
      <formula1>packings</formula1>
    </dataValidation>
    <dataValidation type="list" allowBlank="1" showInputMessage="1" showErrorMessage="1" sqref="D17">
      <formula1>H_Substance</formula1>
    </dataValidation>
    <dataValidation type="list" allowBlank="1" showInputMessage="1" showErrorMessage="1" sqref="C8">
      <formula1>PressureUnits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C50"/>
  <sheetViews>
    <sheetView zoomScalePageLayoutView="0" workbookViewId="0" topLeftCell="A1">
      <selection activeCell="A1" sqref="A1"/>
    </sheetView>
  </sheetViews>
  <sheetFormatPr defaultColWidth="9.140625" defaultRowHeight="12.75"/>
  <sheetData>
    <row r="7" ht="12.75">
      <c r="A7" t="s">
        <v>65</v>
      </c>
    </row>
    <row r="9" ht="12.75">
      <c r="B9" t="s">
        <v>12</v>
      </c>
    </row>
    <row r="10" spans="2:3" ht="12.75">
      <c r="B10" t="s">
        <v>66</v>
      </c>
      <c r="C10" t="s">
        <v>85</v>
      </c>
    </row>
    <row r="11" spans="2:3" ht="12.75">
      <c r="B11" t="s">
        <v>25</v>
      </c>
      <c r="C11">
        <v>1</v>
      </c>
    </row>
    <row r="12" spans="2:3" ht="12.75">
      <c r="B12" t="s">
        <v>76</v>
      </c>
      <c r="C12">
        <v>0.9869233</v>
      </c>
    </row>
    <row r="13" spans="2:3" ht="12.75">
      <c r="B13" t="s">
        <v>75</v>
      </c>
      <c r="C13">
        <v>0.03342105</v>
      </c>
    </row>
    <row r="14" spans="2:3" ht="12.75">
      <c r="B14" t="s">
        <v>74</v>
      </c>
      <c r="C14">
        <v>0.00246</v>
      </c>
    </row>
    <row r="15" spans="2:3" ht="12.75">
      <c r="B15" t="s">
        <v>70</v>
      </c>
      <c r="C15">
        <v>0.009869233</v>
      </c>
    </row>
    <row r="16" spans="2:3" ht="12.75">
      <c r="B16" t="s">
        <v>73</v>
      </c>
      <c r="C16">
        <v>0.001315789</v>
      </c>
    </row>
    <row r="17" spans="2:3" ht="12.75">
      <c r="B17" t="s">
        <v>77</v>
      </c>
      <c r="C17" s="14">
        <v>9.869233E-06</v>
      </c>
    </row>
    <row r="18" spans="2:3" ht="12.75">
      <c r="B18" t="s">
        <v>71</v>
      </c>
      <c r="C18">
        <v>0.06804596</v>
      </c>
    </row>
    <row r="19" spans="2:3" ht="12.75">
      <c r="B19" t="s">
        <v>72</v>
      </c>
      <c r="C19">
        <v>0.001315789</v>
      </c>
    </row>
    <row r="42" ht="15.75">
      <c r="A42" s="9" t="s">
        <v>114</v>
      </c>
    </row>
    <row r="43" spans="2:3" ht="12.75">
      <c r="B43" t="s">
        <v>33</v>
      </c>
      <c r="C43" s="12">
        <v>1</v>
      </c>
    </row>
    <row r="44" spans="2:3" ht="12.75">
      <c r="B44" t="s">
        <v>34</v>
      </c>
      <c r="C44" s="12">
        <v>0.94</v>
      </c>
    </row>
    <row r="45" spans="2:3" ht="12.75">
      <c r="B45" t="s">
        <v>35</v>
      </c>
      <c r="C45" s="12">
        <v>1.11</v>
      </c>
    </row>
    <row r="46" spans="2:3" ht="12.75">
      <c r="B46" t="s">
        <v>31</v>
      </c>
      <c r="C46" s="12">
        <v>1.06</v>
      </c>
    </row>
    <row r="47" spans="2:3" ht="12.75">
      <c r="B47" t="s">
        <v>32</v>
      </c>
      <c r="C47" s="12">
        <v>0.97</v>
      </c>
    </row>
    <row r="48" spans="2:3" ht="12.75">
      <c r="B48" t="s">
        <v>36</v>
      </c>
      <c r="C48" s="12">
        <v>1</v>
      </c>
    </row>
    <row r="49" spans="2:3" ht="12.75">
      <c r="B49" t="s">
        <v>37</v>
      </c>
      <c r="C49" s="12">
        <v>1.19</v>
      </c>
    </row>
    <row r="50" spans="2:3" ht="12.75">
      <c r="B50" t="s">
        <v>38</v>
      </c>
      <c r="C50" s="12">
        <v>0.78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F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7.7109375" style="0" customWidth="1"/>
    <col min="3" max="3" width="22.8515625" style="0" customWidth="1"/>
    <col min="4" max="4" width="13.7109375" style="0" customWidth="1"/>
    <col min="6" max="6" width="12.421875" style="0" bestFit="1" customWidth="1"/>
    <col min="9" max="9" width="12.00390625" style="0" bestFit="1" customWidth="1"/>
  </cols>
  <sheetData>
    <row r="6" ht="12.75">
      <c r="A6" s="8" t="s">
        <v>26</v>
      </c>
    </row>
    <row r="7" spans="2:4" ht="12.75">
      <c r="B7" t="s">
        <v>54</v>
      </c>
      <c r="D7" s="20" t="str">
        <f>SoluteName</f>
        <v>CH3COCH3, acetone</v>
      </c>
    </row>
    <row r="8" spans="2:5" ht="12.75">
      <c r="B8" t="s">
        <v>13</v>
      </c>
      <c r="C8" t="s">
        <v>57</v>
      </c>
      <c r="D8" s="21">
        <f>(SystemTemperature-32)/1.8</f>
        <v>21.11111111111111</v>
      </c>
      <c r="E8" s="11"/>
    </row>
    <row r="9" spans="2:4" ht="12.75">
      <c r="B9" t="s">
        <v>55</v>
      </c>
      <c r="C9" t="s">
        <v>25</v>
      </c>
      <c r="D9" s="16">
        <f>VLOOKUP(SoluteName,H_Data,2,FALSE)</f>
        <v>1.95</v>
      </c>
    </row>
    <row r="10" spans="2:4" ht="12.75">
      <c r="B10" t="s">
        <v>56</v>
      </c>
      <c r="D10" s="12">
        <f>VLOOKUP(SoluteName,H_Data,3,FALSE)</f>
        <v>4600</v>
      </c>
    </row>
    <row r="11" spans="2:4" ht="12.75">
      <c r="B11" t="s">
        <v>59</v>
      </c>
      <c r="C11" t="s">
        <v>58</v>
      </c>
      <c r="D11" s="12">
        <v>298.15</v>
      </c>
    </row>
    <row r="12" ht="12.75">
      <c r="D12" s="12"/>
    </row>
    <row r="13" spans="1:4" ht="12.75">
      <c r="A13" s="8" t="s">
        <v>22</v>
      </c>
      <c r="D13" s="12"/>
    </row>
    <row r="14" spans="2:4" ht="12.75">
      <c r="B14" t="s">
        <v>13</v>
      </c>
      <c r="C14" t="s">
        <v>58</v>
      </c>
      <c r="D14" s="12">
        <f>D8+273.15</f>
        <v>294.26111111111106</v>
      </c>
    </row>
    <row r="15" spans="2:4" ht="12.75">
      <c r="B15" t="s">
        <v>60</v>
      </c>
      <c r="C15" t="s">
        <v>25</v>
      </c>
      <c r="D15" s="17">
        <f>D9*EXP(-D10*(1/D14-1/D11))</f>
        <v>1.5903117992813607</v>
      </c>
    </row>
    <row r="16" ht="12.75">
      <c r="D16" s="24"/>
    </row>
    <row r="19" ht="12.75">
      <c r="A19" t="s">
        <v>102</v>
      </c>
    </row>
    <row r="20" ht="12.75">
      <c r="A20" t="s">
        <v>104</v>
      </c>
    </row>
    <row r="21" ht="12.75">
      <c r="A21" t="s">
        <v>50</v>
      </c>
    </row>
    <row r="22" ht="12.75">
      <c r="A22" t="s">
        <v>51</v>
      </c>
    </row>
    <row r="24" ht="12.75">
      <c r="A24" t="s">
        <v>103</v>
      </c>
    </row>
    <row r="26" ht="12.75">
      <c r="A26" t="s">
        <v>78</v>
      </c>
    </row>
    <row r="27" ht="12.75">
      <c r="A27" t="s">
        <v>79</v>
      </c>
    </row>
    <row r="28" ht="12.75">
      <c r="A28" t="s">
        <v>80</v>
      </c>
    </row>
    <row r="29" ht="12.75">
      <c r="A29" s="15" t="s">
        <v>81</v>
      </c>
    </row>
    <row r="31" spans="3:6" ht="12.75">
      <c r="C31" s="23" t="s">
        <v>52</v>
      </c>
      <c r="D31" s="23" t="s">
        <v>101</v>
      </c>
      <c r="E31" s="23" t="s">
        <v>53</v>
      </c>
      <c r="F31" s="23" t="s">
        <v>61</v>
      </c>
    </row>
    <row r="32" spans="3:6" ht="15.75">
      <c r="C32" s="13" t="s">
        <v>105</v>
      </c>
      <c r="D32" s="22">
        <v>0.937</v>
      </c>
      <c r="E32" s="22">
        <v>4100</v>
      </c>
      <c r="F32" s="22">
        <v>17</v>
      </c>
    </row>
    <row r="33" spans="3:6" ht="12.75">
      <c r="C33" s="13" t="s">
        <v>86</v>
      </c>
      <c r="D33" s="22">
        <v>77.9</v>
      </c>
      <c r="E33" s="22">
        <v>6100</v>
      </c>
      <c r="F33" s="22">
        <v>80.91</v>
      </c>
    </row>
    <row r="34" spans="3:6" ht="12.75">
      <c r="C34" s="13" t="s">
        <v>113</v>
      </c>
      <c r="D34" s="22">
        <v>0.03</v>
      </c>
      <c r="E34" s="22">
        <v>0</v>
      </c>
      <c r="F34" s="22">
        <v>36.5</v>
      </c>
    </row>
    <row r="35" spans="3:6" ht="15.75">
      <c r="C35" s="13" t="s">
        <v>106</v>
      </c>
      <c r="D35" s="22">
        <v>553</v>
      </c>
      <c r="E35" s="22">
        <v>2100</v>
      </c>
      <c r="F35" s="22">
        <v>34.08</v>
      </c>
    </row>
    <row r="36" spans="3:6" ht="15.75">
      <c r="C36" s="13" t="s">
        <v>107</v>
      </c>
      <c r="D36" s="22">
        <v>46.1</v>
      </c>
      <c r="E36" s="22">
        <v>3100</v>
      </c>
      <c r="F36" s="22">
        <v>64.06</v>
      </c>
    </row>
    <row r="37" spans="3:6" ht="15.75">
      <c r="C37" s="13" t="s">
        <v>112</v>
      </c>
      <c r="D37" s="22">
        <v>0.3</v>
      </c>
      <c r="E37" s="22">
        <v>6500</v>
      </c>
      <c r="F37" s="22">
        <v>46.07</v>
      </c>
    </row>
    <row r="38" spans="3:6" ht="15.75">
      <c r="C38" s="13" t="s">
        <v>108</v>
      </c>
      <c r="D38" s="22">
        <v>0.011</v>
      </c>
      <c r="E38" s="22">
        <v>6300</v>
      </c>
      <c r="F38" s="22">
        <v>60.05</v>
      </c>
    </row>
    <row r="39" spans="3:6" ht="15.75">
      <c r="C39" s="13" t="s">
        <v>110</v>
      </c>
      <c r="D39" s="22">
        <v>1.95</v>
      </c>
      <c r="E39" s="22">
        <v>4600</v>
      </c>
      <c r="F39" s="22">
        <v>58.08</v>
      </c>
    </row>
    <row r="40" spans="3:6" ht="15.75">
      <c r="C40" s="13" t="s">
        <v>111</v>
      </c>
      <c r="D40" s="22">
        <v>5</v>
      </c>
      <c r="E40" s="22">
        <v>2800</v>
      </c>
      <c r="F40" s="22">
        <v>53.1</v>
      </c>
    </row>
    <row r="41" spans="3:6" ht="15.75">
      <c r="C41" s="13" t="s">
        <v>109</v>
      </c>
      <c r="D41" s="22">
        <v>608</v>
      </c>
      <c r="E41" s="22">
        <v>2500</v>
      </c>
      <c r="F41" s="22">
        <v>70.9</v>
      </c>
    </row>
    <row r="42" spans="3:6" ht="12.75">
      <c r="C42" s="13" t="s">
        <v>87</v>
      </c>
      <c r="D42" s="22">
        <v>0.017</v>
      </c>
      <c r="E42" s="22">
        <v>6800</v>
      </c>
      <c r="F42" s="22">
        <v>30.03</v>
      </c>
    </row>
    <row r="43" spans="3:6" ht="12.75">
      <c r="C43" s="13" t="s">
        <v>99</v>
      </c>
      <c r="D43" s="22">
        <v>1.75</v>
      </c>
      <c r="E43" s="22">
        <v>0</v>
      </c>
      <c r="F43" s="22">
        <v>32</v>
      </c>
    </row>
    <row r="44" spans="3:6" ht="12.75">
      <c r="C44" s="13"/>
      <c r="D44" s="22"/>
      <c r="E44" s="22"/>
      <c r="F44" s="22"/>
    </row>
    <row r="45" spans="3:6" ht="12.75">
      <c r="C45" s="13"/>
      <c r="D45" s="22"/>
      <c r="E45" s="22"/>
      <c r="F45" s="22"/>
    </row>
  </sheetData>
  <sheetProtection/>
  <hyperlinks>
    <hyperlink ref="A29" r:id="rId1" display="http://www.henrys-law.org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MannKind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Absorbers</dc:title>
  <dc:subject/>
  <dc:creator>Stephen M Hall</dc:creator>
  <cp:keywords/>
  <dc:description>Chapter 4
Rules of Thumb for Chemical Engineers</dc:description>
  <cp:lastModifiedBy>Stephen Hall</cp:lastModifiedBy>
  <dcterms:created xsi:type="dcterms:W3CDTF">2011-01-07T17:28:34Z</dcterms:created>
  <dcterms:modified xsi:type="dcterms:W3CDTF">2012-03-12T20:22:48Z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