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'Sheet1'!$A$2:$M$267</definedName>
  </definedNames>
  <calcPr fullCalcOnLoad="1"/>
</workbook>
</file>

<file path=xl/sharedStrings.xml><?xml version="1.0" encoding="utf-8"?>
<sst xmlns="http://schemas.openxmlformats.org/spreadsheetml/2006/main" count="614" uniqueCount="411">
  <si>
    <t>S</t>
  </si>
  <si>
    <t>V</t>
  </si>
  <si>
    <t>-</t>
  </si>
  <si>
    <t>cm/s</t>
  </si>
  <si>
    <t>l</t>
  </si>
  <si>
    <t>b</t>
  </si>
  <si>
    <t>ε</t>
  </si>
  <si>
    <t>T</t>
  </si>
  <si>
    <t>F</t>
  </si>
  <si>
    <t>RT/F</t>
  </si>
  <si>
    <t>q</t>
  </si>
  <si>
    <t>=B</t>
  </si>
  <si>
    <t>α</t>
  </si>
  <si>
    <t>cm</t>
  </si>
  <si>
    <t>℃</t>
  </si>
  <si>
    <t>Pa</t>
  </si>
  <si>
    <r>
      <t xml:space="preserve">8 </t>
    </r>
    <r>
      <rPr>
        <b/>
        <i/>
        <sz val="12"/>
        <rFont val="ＭＳ Ｐゴシック"/>
        <family val="3"/>
      </rPr>
      <t>p</t>
    </r>
    <r>
      <rPr>
        <b/>
        <sz val="12"/>
        <rFont val="ＭＳ Ｐゴシック"/>
        <family val="3"/>
      </rPr>
      <t xml:space="preserve">, </t>
    </r>
    <r>
      <rPr>
        <b/>
        <i/>
        <sz val="12"/>
        <rFont val="ＭＳ Ｐゴシック"/>
        <family val="3"/>
      </rPr>
      <t>ζ</t>
    </r>
    <r>
      <rPr>
        <b/>
        <vertAlign val="subscript"/>
        <sz val="12"/>
        <rFont val="ＭＳ Ｐゴシック"/>
        <family val="3"/>
      </rPr>
      <t>in</t>
    </r>
    <r>
      <rPr>
        <b/>
        <sz val="12"/>
        <rFont val="ＭＳ Ｐゴシック"/>
        <family val="3"/>
      </rPr>
      <t xml:space="preserve">, </t>
    </r>
    <r>
      <rPr>
        <b/>
        <i/>
        <sz val="12"/>
        <rFont val="ＭＳ Ｐゴシック"/>
        <family val="3"/>
      </rPr>
      <t>ζ</t>
    </r>
    <r>
      <rPr>
        <b/>
        <vertAlign val="subscript"/>
        <sz val="12"/>
        <rFont val="ＭＳ Ｐゴシック"/>
        <family val="3"/>
      </rPr>
      <t>out</t>
    </r>
    <r>
      <rPr>
        <b/>
        <sz val="12"/>
        <rFont val="ＭＳ Ｐゴシック"/>
        <family val="3"/>
      </rPr>
      <t>、</t>
    </r>
    <r>
      <rPr>
        <b/>
        <i/>
        <sz val="12"/>
        <rFont val="ＭＳ Ｐゴシック"/>
        <family val="3"/>
      </rPr>
      <t>a</t>
    </r>
    <r>
      <rPr>
        <b/>
        <i/>
        <vertAlign val="subscript"/>
        <sz val="12"/>
        <rFont val="ＭＳ Ｐゴシック"/>
        <family val="3"/>
      </rPr>
      <t>1</t>
    </r>
    <r>
      <rPr>
        <b/>
        <sz val="12"/>
        <rFont val="ＭＳ Ｐゴシック"/>
        <family val="3"/>
      </rPr>
      <t>、</t>
    </r>
    <r>
      <rPr>
        <b/>
        <i/>
        <sz val="12"/>
        <rFont val="ＭＳ Ｐゴシック"/>
        <family val="3"/>
      </rPr>
      <t>a</t>
    </r>
    <r>
      <rPr>
        <b/>
        <i/>
        <vertAlign val="subscript"/>
        <sz val="12"/>
        <rFont val="ＭＳ Ｐゴシック"/>
        <family val="3"/>
      </rPr>
      <t>2</t>
    </r>
    <r>
      <rPr>
        <b/>
        <sz val="12"/>
        <rFont val="ＭＳ Ｐゴシック"/>
        <family val="3"/>
      </rPr>
      <t>、</t>
    </r>
    <r>
      <rPr>
        <b/>
        <i/>
        <sz val="12"/>
        <rFont val="ＭＳ Ｐゴシック"/>
        <family val="3"/>
      </rPr>
      <t>a</t>
    </r>
    <r>
      <rPr>
        <b/>
        <i/>
        <vertAlign val="subscript"/>
        <sz val="12"/>
        <rFont val="ＭＳ Ｐゴシック"/>
        <family val="3"/>
      </rPr>
      <t>3</t>
    </r>
  </si>
  <si>
    <t>Re</t>
  </si>
  <si>
    <t>1 Fundamental specifications of an electrodialyzer and operating conditions</t>
  </si>
  <si>
    <t>℃</t>
  </si>
  <si>
    <t>Nunmber of concentrating cells</t>
  </si>
  <si>
    <t>Hydrodynamic diameter</t>
  </si>
  <si>
    <t>Salt concentration at the outlets of desalting cells</t>
  </si>
  <si>
    <t>2 Fundamental operating conditions of an electrodialyzer</t>
  </si>
  <si>
    <t>Linear velocity at the outlets of desalting cells</t>
  </si>
  <si>
    <t>Linear velocity at the outlets of concentrating cells</t>
  </si>
  <si>
    <t>3 Solution electric resistance and salt activity coefficient in concentrating cells</t>
  </si>
  <si>
    <t>4 Solution electric resistance and salt activity coefficient at the inlets of desalting cells</t>
  </si>
  <si>
    <r>
      <t>5 Computation at</t>
    </r>
    <r>
      <rPr>
        <b/>
        <i/>
        <sz val="12"/>
        <rFont val="ＭＳ Ｐゴシック"/>
        <family val="3"/>
      </rPr>
      <t>V</t>
    </r>
    <r>
      <rPr>
        <b/>
        <vertAlign val="subscript"/>
        <sz val="12"/>
        <rFont val="ＭＳ Ｐゴシック"/>
        <family val="3"/>
      </rPr>
      <t>in</t>
    </r>
    <r>
      <rPr>
        <b/>
        <sz val="12"/>
        <rFont val="ＭＳ Ｐゴシック"/>
        <family val="3"/>
      </rPr>
      <t>=</t>
    </r>
    <r>
      <rPr>
        <b/>
        <i/>
        <sz val="12"/>
        <rFont val="ＭＳ Ｐゴシック"/>
        <family val="3"/>
      </rPr>
      <t>V</t>
    </r>
    <r>
      <rPr>
        <b/>
        <vertAlign val="subscript"/>
        <sz val="12"/>
        <rFont val="ＭＳ Ｐゴシック"/>
        <family val="3"/>
      </rPr>
      <t>out</t>
    </r>
  </si>
  <si>
    <r>
      <t xml:space="preserve">6 </t>
    </r>
    <r>
      <rPr>
        <b/>
        <i/>
        <sz val="12"/>
        <rFont val="ＭＳ Ｐゴシック"/>
        <family val="3"/>
      </rPr>
      <t>i</t>
    </r>
    <r>
      <rPr>
        <b/>
        <vertAlign val="subscript"/>
        <sz val="12"/>
        <rFont val="ＭＳ Ｐゴシック"/>
        <family val="3"/>
      </rPr>
      <t>in</t>
    </r>
    <r>
      <rPr>
        <b/>
        <sz val="12"/>
        <rFont val="ＭＳ Ｐゴシック"/>
        <family val="3"/>
      </rPr>
      <t xml:space="preserve">, </t>
    </r>
    <r>
      <rPr>
        <b/>
        <i/>
        <sz val="12"/>
        <rFont val="ＭＳ Ｐゴシック"/>
        <family val="3"/>
      </rPr>
      <t>i</t>
    </r>
    <r>
      <rPr>
        <b/>
        <vertAlign val="subscript"/>
        <sz val="12"/>
        <rFont val="ＭＳ Ｐゴシック"/>
        <family val="3"/>
      </rPr>
      <t>out</t>
    </r>
    <r>
      <rPr>
        <b/>
        <sz val="12"/>
        <rFont val="ＭＳ Ｐゴシック"/>
        <family val="3"/>
      </rPr>
      <t>, ohmic voltage, membrane potential, cell voltage, energy consumption</t>
    </r>
  </si>
  <si>
    <t>R</t>
  </si>
  <si>
    <t>VAs/Kmol</t>
  </si>
  <si>
    <t>K</t>
  </si>
  <si>
    <t>As/mol</t>
  </si>
  <si>
    <t>cells</t>
  </si>
  <si>
    <r>
      <t>cm</t>
    </r>
    <r>
      <rPr>
        <vertAlign val="superscript"/>
        <sz val="10"/>
        <color indexed="8"/>
        <rFont val="ＭＳ Ｐゴシック"/>
        <family val="3"/>
      </rPr>
      <t>4</t>
    </r>
    <r>
      <rPr>
        <sz val="10"/>
        <color indexed="8"/>
        <rFont val="ＭＳ Ｐゴシック"/>
        <family val="3"/>
      </rPr>
      <t>/eq・s</t>
    </r>
  </si>
  <si>
    <r>
      <t>cm</t>
    </r>
    <r>
      <rPr>
        <vertAlign val="superscript"/>
        <sz val="10"/>
        <rFont val="ＭＳ Ｐゴシック"/>
        <family val="3"/>
      </rPr>
      <t>2</t>
    </r>
  </si>
  <si>
    <t>Membrane area</t>
  </si>
  <si>
    <r>
      <t>Ωcm</t>
    </r>
    <r>
      <rPr>
        <vertAlign val="superscript"/>
        <sz val="10"/>
        <rFont val="ＭＳ Ｐゴシック"/>
        <family val="3"/>
      </rPr>
      <t>2</t>
    </r>
  </si>
  <si>
    <r>
      <t>d</t>
    </r>
    <r>
      <rPr>
        <i/>
        <vertAlign val="subscript"/>
        <sz val="10"/>
        <rFont val="ＭＳ Ｐゴシック"/>
        <family val="3"/>
      </rPr>
      <t>H</t>
    </r>
    <r>
      <rPr>
        <i/>
        <sz val="10"/>
        <rFont val="ＭＳ Ｐゴシック"/>
        <family val="3"/>
      </rPr>
      <t>' = d</t>
    </r>
    <r>
      <rPr>
        <i/>
        <vertAlign val="subscript"/>
        <sz val="10"/>
        <rFont val="ＭＳ Ｐゴシック"/>
        <family val="3"/>
      </rPr>
      <t>H</t>
    </r>
    <r>
      <rPr>
        <i/>
        <sz val="10"/>
        <rFont val="ＭＳ Ｐゴシック"/>
        <family val="3"/>
      </rPr>
      <t>"</t>
    </r>
  </si>
  <si>
    <r>
      <t>eq/cm</t>
    </r>
    <r>
      <rPr>
        <vertAlign val="superscript"/>
        <sz val="10"/>
        <rFont val="ＭＳ Ｐゴシック"/>
        <family val="3"/>
      </rPr>
      <t>3</t>
    </r>
  </si>
  <si>
    <r>
      <t>eq/dm</t>
    </r>
    <r>
      <rPr>
        <vertAlign val="superscript"/>
        <sz val="10"/>
        <rFont val="ＭＳ Ｐゴシック"/>
        <family val="3"/>
      </rPr>
      <t>3</t>
    </r>
  </si>
  <si>
    <r>
      <t>g/dm</t>
    </r>
    <r>
      <rPr>
        <vertAlign val="superscript"/>
        <sz val="10"/>
        <rFont val="ＭＳ Ｐゴシック"/>
        <family val="3"/>
      </rPr>
      <t>3</t>
    </r>
  </si>
  <si>
    <t>g/ｋｇ</t>
  </si>
  <si>
    <r>
      <t>C'</t>
    </r>
    <r>
      <rPr>
        <i/>
        <vertAlign val="subscript"/>
        <sz val="10"/>
        <color indexed="10"/>
        <rFont val="ＭＳ Ｐゴシック"/>
        <family val="3"/>
      </rPr>
      <t>p</t>
    </r>
  </si>
  <si>
    <r>
      <t>eq/cm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s</t>
    </r>
  </si>
  <si>
    <r>
      <t>C'</t>
    </r>
    <r>
      <rPr>
        <i/>
        <vertAlign val="subscript"/>
        <sz val="10"/>
        <color indexed="10"/>
        <rFont val="ＭＳ Ｐゴシック"/>
        <family val="3"/>
      </rPr>
      <t>p</t>
    </r>
    <r>
      <rPr>
        <i/>
        <vertAlign val="superscript"/>
        <sz val="10"/>
        <color indexed="10"/>
        <rFont val="ＭＳ Ｐゴシック"/>
        <family val="3"/>
      </rPr>
      <t>*</t>
    </r>
  </si>
  <si>
    <r>
      <t>C"</t>
    </r>
    <r>
      <rPr>
        <i/>
        <vertAlign val="subscript"/>
        <sz val="10"/>
        <color indexed="10"/>
        <rFont val="ＭＳ Ｐゴシック"/>
        <family val="3"/>
      </rPr>
      <t>p</t>
    </r>
  </si>
  <si>
    <r>
      <t>C"</t>
    </r>
    <r>
      <rPr>
        <i/>
        <vertAlign val="subscript"/>
        <sz val="10"/>
        <color indexed="10"/>
        <rFont val="ＭＳ Ｐゴシック"/>
        <family val="3"/>
      </rPr>
      <t>p</t>
    </r>
    <r>
      <rPr>
        <i/>
        <vertAlign val="superscript"/>
        <sz val="10"/>
        <color indexed="10"/>
        <rFont val="ＭＳ Ｐゴシック"/>
        <family val="3"/>
      </rPr>
      <t>*</t>
    </r>
  </si>
  <si>
    <r>
      <t>cm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/s</t>
    </r>
  </si>
  <si>
    <r>
      <t>cm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/dm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h</t>
    </r>
  </si>
  <si>
    <t>Volume of concentrate</t>
  </si>
  <si>
    <r>
      <t>Q'</t>
    </r>
    <r>
      <rPr>
        <vertAlign val="subscript"/>
        <sz val="10"/>
        <rFont val="ＭＳ Ｐゴシック"/>
        <family val="3"/>
      </rPr>
      <t>in</t>
    </r>
  </si>
  <si>
    <r>
      <t>u'</t>
    </r>
    <r>
      <rPr>
        <vertAlign val="subscript"/>
        <sz val="10"/>
        <rFont val="ＭＳ Ｐゴシック"/>
        <family val="3"/>
      </rPr>
      <t>out</t>
    </r>
  </si>
  <si>
    <r>
      <t>u'</t>
    </r>
    <r>
      <rPr>
        <i/>
        <vertAlign val="subscript"/>
        <sz val="10"/>
        <color indexed="8"/>
        <rFont val="ＭＳ Ｐゴシック"/>
        <family val="3"/>
      </rPr>
      <t>p</t>
    </r>
  </si>
  <si>
    <r>
      <t>u'</t>
    </r>
    <r>
      <rPr>
        <i/>
        <vertAlign val="subscript"/>
        <sz val="10"/>
        <color indexed="8"/>
        <rFont val="ＭＳ Ｐゴシック"/>
        <family val="3"/>
      </rPr>
      <t>p/2</t>
    </r>
  </si>
  <si>
    <r>
      <t>u"</t>
    </r>
    <r>
      <rPr>
        <i/>
        <vertAlign val="subscript"/>
        <sz val="10"/>
        <color indexed="8"/>
        <rFont val="ＭＳ Ｐゴシック"/>
        <family val="3"/>
      </rPr>
      <t>out</t>
    </r>
  </si>
  <si>
    <r>
      <t>u"</t>
    </r>
    <r>
      <rPr>
        <i/>
        <vertAlign val="subscript"/>
        <sz val="10"/>
        <color indexed="8"/>
        <rFont val="ＭＳ Ｐゴシック"/>
        <family val="3"/>
      </rPr>
      <t>p</t>
    </r>
  </si>
  <si>
    <r>
      <t>u"</t>
    </r>
    <r>
      <rPr>
        <i/>
        <vertAlign val="subscript"/>
        <sz val="10"/>
        <color indexed="8"/>
        <rFont val="ＭＳ Ｐゴシック"/>
        <family val="3"/>
      </rPr>
      <t>p/2</t>
    </r>
  </si>
  <si>
    <r>
      <t>Q"</t>
    </r>
    <r>
      <rPr>
        <i/>
        <vertAlign val="subscript"/>
        <sz val="10"/>
        <rFont val="ＭＳ Ｐゴシック"/>
        <family val="3"/>
      </rPr>
      <t>in</t>
    </r>
  </si>
  <si>
    <r>
      <t>Q"</t>
    </r>
    <r>
      <rPr>
        <i/>
        <vertAlign val="subscript"/>
        <sz val="10"/>
        <rFont val="ＭＳ Ｐゴシック"/>
        <family val="3"/>
      </rPr>
      <t>out</t>
    </r>
  </si>
  <si>
    <t>Recovery</t>
  </si>
  <si>
    <r>
      <t>x</t>
    </r>
    <r>
      <rPr>
        <sz val="10"/>
        <rFont val="ＭＳ Ｐゴシック"/>
        <family val="3"/>
      </rPr>
      <t xml:space="preserve"> = 0</t>
    </r>
  </si>
  <si>
    <r>
      <t>x</t>
    </r>
    <r>
      <rPr>
        <sz val="10"/>
        <rFont val="ＭＳ Ｐゴシック"/>
        <family val="3"/>
      </rPr>
      <t xml:space="preserve"> = </t>
    </r>
    <r>
      <rPr>
        <i/>
        <sz val="10"/>
        <rFont val="ＭＳ Ｐゴシック"/>
        <family val="3"/>
      </rPr>
      <t>pl</t>
    </r>
  </si>
  <si>
    <r>
      <t>x</t>
    </r>
    <r>
      <rPr>
        <sz val="10"/>
        <color indexed="8"/>
        <rFont val="ＭＳ Ｐゴシック"/>
        <family val="3"/>
      </rPr>
      <t xml:space="preserve"> =</t>
    </r>
    <r>
      <rPr>
        <i/>
        <sz val="10"/>
        <color indexed="8"/>
        <rFont val="ＭＳ Ｐゴシック"/>
        <family val="3"/>
      </rPr>
      <t xml:space="preserve"> l</t>
    </r>
  </si>
  <si>
    <t>Inlet</t>
  </si>
  <si>
    <t>Point p</t>
  </si>
  <si>
    <t>Outlet</t>
  </si>
  <si>
    <r>
      <t>C"</t>
    </r>
    <r>
      <rPr>
        <vertAlign val="subscript"/>
        <sz val="10"/>
        <rFont val="ＭＳ Ｐゴシック"/>
        <family val="3"/>
      </rPr>
      <t>1</t>
    </r>
  </si>
  <si>
    <r>
      <t>C"</t>
    </r>
    <r>
      <rPr>
        <vertAlign val="subscript"/>
        <sz val="10"/>
        <rFont val="ＭＳ Ｐゴシック"/>
        <family val="3"/>
      </rPr>
      <t>2</t>
    </r>
  </si>
  <si>
    <r>
      <t>C"</t>
    </r>
    <r>
      <rPr>
        <vertAlign val="subscript"/>
        <sz val="10"/>
        <rFont val="ＭＳ Ｐゴシック"/>
        <family val="3"/>
      </rPr>
      <t>3</t>
    </r>
  </si>
  <si>
    <t>g/kg</t>
  </si>
  <si>
    <t>κ"</t>
  </si>
  <si>
    <t>S/cm</t>
  </si>
  <si>
    <t>Conductivity</t>
  </si>
  <si>
    <t>γ"</t>
  </si>
  <si>
    <t>Salt activity coefficient</t>
  </si>
  <si>
    <r>
      <t xml:space="preserve">(1) Solution electric resistance and salt activity coefficient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 xml:space="preserve"> = 0 </t>
    </r>
  </si>
  <si>
    <r>
      <t>C'</t>
    </r>
    <r>
      <rPr>
        <vertAlign val="subscript"/>
        <sz val="10"/>
        <rFont val="ＭＳ Ｐゴシック"/>
        <family val="3"/>
      </rPr>
      <t>in,1</t>
    </r>
  </si>
  <si>
    <r>
      <t>C'</t>
    </r>
    <r>
      <rPr>
        <vertAlign val="subscript"/>
        <sz val="10"/>
        <rFont val="ＭＳ Ｐゴシック"/>
        <family val="3"/>
      </rPr>
      <t>in,2</t>
    </r>
  </si>
  <si>
    <r>
      <t>C'</t>
    </r>
    <r>
      <rPr>
        <vertAlign val="subscript"/>
        <sz val="10"/>
        <rFont val="ＭＳ Ｐゴシック"/>
        <family val="3"/>
      </rPr>
      <t>in,3</t>
    </r>
  </si>
  <si>
    <r>
      <t>κ'</t>
    </r>
    <r>
      <rPr>
        <vertAlign val="subscript"/>
        <sz val="10"/>
        <rFont val="ＭＳ Ｐゴシック"/>
        <family val="3"/>
      </rPr>
      <t>in</t>
    </r>
  </si>
  <si>
    <t>Solution electric conductivity</t>
  </si>
  <si>
    <r>
      <t>γ'</t>
    </r>
    <r>
      <rPr>
        <vertAlign val="subscript"/>
        <sz val="10"/>
        <rFont val="ＭＳ Ｐゴシック"/>
        <family val="3"/>
      </rPr>
      <t>in</t>
    </r>
  </si>
  <si>
    <r>
      <t>(2)</t>
    </r>
    <r>
      <rPr>
        <i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Membrane electric resistance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 xml:space="preserve"> = 0 </t>
    </r>
  </si>
  <si>
    <r>
      <t>r</t>
    </r>
    <r>
      <rPr>
        <vertAlign val="subscript"/>
        <sz val="10"/>
        <rFont val="ＭＳ Ｐゴシック"/>
        <family val="3"/>
      </rPr>
      <t>dire</t>
    </r>
    <r>
      <rPr>
        <sz val="10"/>
        <rFont val="ＭＳ Ｐゴシック"/>
        <family val="3"/>
      </rPr>
      <t>*/</t>
    </r>
    <r>
      <rPr>
        <i/>
        <sz val="10"/>
        <rFont val="ＭＳ Ｐゴシック"/>
        <family val="3"/>
      </rPr>
      <t>r</t>
    </r>
    <r>
      <rPr>
        <vertAlign val="subscript"/>
        <sz val="10"/>
        <rFont val="ＭＳ Ｐゴシック"/>
        <family val="3"/>
      </rPr>
      <t>alter</t>
    </r>
  </si>
  <si>
    <r>
      <t xml:space="preserve">unit of </t>
    </r>
    <r>
      <rPr>
        <i/>
        <sz val="10"/>
        <color indexed="8"/>
        <rFont val="ＭＳ Ｐゴシック"/>
        <family val="3"/>
      </rPr>
      <t>κ</t>
    </r>
    <r>
      <rPr>
        <sz val="10"/>
        <color indexed="8"/>
        <rFont val="ＭＳ Ｐゴシック"/>
        <family val="3"/>
      </rPr>
      <t xml:space="preserve"> in the equation is S/cm</t>
    </r>
  </si>
  <si>
    <r>
      <t>r</t>
    </r>
    <r>
      <rPr>
        <vertAlign val="subscript"/>
        <sz val="10"/>
        <rFont val="ＭＳ Ｐゴシック"/>
        <family val="3"/>
      </rPr>
      <t>dire,in</t>
    </r>
    <r>
      <rPr>
        <sz val="10"/>
        <rFont val="ＭＳ Ｐゴシック"/>
        <family val="3"/>
      </rPr>
      <t>/</t>
    </r>
    <r>
      <rPr>
        <i/>
        <sz val="10"/>
        <rFont val="ＭＳ Ｐゴシック"/>
        <family val="3"/>
      </rPr>
      <t>r</t>
    </r>
    <r>
      <rPr>
        <vertAlign val="subscript"/>
        <sz val="10"/>
        <rFont val="ＭＳ Ｐゴシック"/>
        <family val="3"/>
      </rPr>
      <t>dire</t>
    </r>
    <r>
      <rPr>
        <sz val="10"/>
        <rFont val="ＭＳ Ｐゴシック"/>
        <family val="3"/>
      </rPr>
      <t>*</t>
    </r>
  </si>
  <si>
    <t>j</t>
  </si>
  <si>
    <r>
      <t>ξ</t>
    </r>
    <r>
      <rPr>
        <vertAlign val="subscript"/>
        <sz val="10"/>
        <rFont val="ＭＳ Ｐゴシック"/>
        <family val="3"/>
      </rPr>
      <t>j</t>
    </r>
  </si>
  <si>
    <r>
      <t>C'</t>
    </r>
    <r>
      <rPr>
        <vertAlign val="subscript"/>
        <sz val="10"/>
        <rFont val="ＭＳ Ｐゴシック"/>
        <family val="3"/>
      </rPr>
      <t>out,j,1</t>
    </r>
  </si>
  <si>
    <r>
      <t>C'</t>
    </r>
    <r>
      <rPr>
        <vertAlign val="subscript"/>
        <sz val="10"/>
        <rFont val="ＭＳ Ｐゴシック"/>
        <family val="3"/>
      </rPr>
      <t>out,j,2</t>
    </r>
  </si>
  <si>
    <r>
      <t>C'</t>
    </r>
    <r>
      <rPr>
        <vertAlign val="subscript"/>
        <sz val="10"/>
        <rFont val="ＭＳ Ｐゴシック"/>
        <family val="3"/>
      </rPr>
      <t>out,j,3</t>
    </r>
  </si>
  <si>
    <r>
      <t>κ'</t>
    </r>
    <r>
      <rPr>
        <vertAlign val="subscript"/>
        <sz val="10"/>
        <rFont val="ＭＳ Ｐゴシック"/>
        <family val="3"/>
      </rPr>
      <t>out,j</t>
    </r>
  </si>
  <si>
    <r>
      <t>r'</t>
    </r>
    <r>
      <rPr>
        <vertAlign val="subscript"/>
        <sz val="10"/>
        <rFont val="ＭＳ Ｐゴシック"/>
        <family val="3"/>
      </rPr>
      <t>out,j</t>
    </r>
  </si>
  <si>
    <r>
      <t>Y</t>
    </r>
    <r>
      <rPr>
        <vertAlign val="subscript"/>
        <sz val="10"/>
        <rFont val="ＭＳ Ｐゴシック"/>
        <family val="3"/>
      </rPr>
      <t>j</t>
    </r>
  </si>
  <si>
    <r>
      <t>Y</t>
    </r>
    <r>
      <rPr>
        <vertAlign val="subscript"/>
        <sz val="10"/>
        <rFont val="ＭＳ Ｐゴシック"/>
        <family val="3"/>
      </rPr>
      <t>j</t>
    </r>
    <r>
      <rPr>
        <sz val="10"/>
        <rFont val="ＭＳ Ｐゴシック"/>
        <family val="3"/>
      </rPr>
      <t>×</t>
    </r>
    <r>
      <rPr>
        <i/>
        <sz val="10"/>
        <rFont val="ＭＳ Ｐゴシック"/>
        <family val="3"/>
      </rPr>
      <t>r'</t>
    </r>
    <r>
      <rPr>
        <vertAlign val="subscript"/>
        <sz val="10"/>
        <rFont val="ＭＳ Ｐゴシック"/>
        <family val="3"/>
      </rPr>
      <t>out,j</t>
    </r>
  </si>
  <si>
    <r>
      <t xml:space="preserve">(2) Stack membrane potential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 xml:space="preserve"> = </t>
    </r>
    <r>
      <rPr>
        <i/>
        <sz val="10"/>
        <rFont val="ＭＳ Ｐゴシック"/>
        <family val="3"/>
      </rPr>
      <t>l</t>
    </r>
  </si>
  <si>
    <r>
      <t xml:space="preserve">(3) Stack direct current electric resistance and membrane pair electric resistance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 xml:space="preserve"> = </t>
    </r>
    <r>
      <rPr>
        <i/>
        <sz val="10"/>
        <rFont val="ＭＳ Ｐゴシック"/>
        <family val="3"/>
      </rPr>
      <t>l</t>
    </r>
    <r>
      <rPr>
        <sz val="10"/>
        <rFont val="ＭＳ Ｐゴシック"/>
        <family val="3"/>
      </rPr>
      <t xml:space="preserve"> </t>
    </r>
  </si>
  <si>
    <r>
      <t>γ</t>
    </r>
    <r>
      <rPr>
        <i/>
        <vertAlign val="superscript"/>
        <sz val="10"/>
        <rFont val="ＭＳ Ｐゴシック"/>
        <family val="3"/>
      </rPr>
      <t>'</t>
    </r>
    <r>
      <rPr>
        <vertAlign val="subscript"/>
        <sz val="10"/>
        <rFont val="ＭＳ Ｐゴシック"/>
        <family val="3"/>
      </rPr>
      <t>out,j</t>
    </r>
  </si>
  <si>
    <r>
      <t>r</t>
    </r>
    <r>
      <rPr>
        <vertAlign val="subscript"/>
        <sz val="10"/>
        <rFont val="ＭＳ Ｐゴシック"/>
        <family val="3"/>
      </rPr>
      <t>out,j,memb</t>
    </r>
  </si>
  <si>
    <t>-</t>
  </si>
  <si>
    <r>
      <t>Ωcm</t>
    </r>
    <r>
      <rPr>
        <vertAlign val="superscript"/>
        <sz val="10"/>
        <rFont val="ＭＳ Ｐゴシック"/>
        <family val="3"/>
      </rPr>
      <t>2</t>
    </r>
  </si>
  <si>
    <t>Stack inlet</t>
  </si>
  <si>
    <t>Stack outlet</t>
  </si>
  <si>
    <r>
      <t>A</t>
    </r>
    <r>
      <rPr>
        <vertAlign val="subscript"/>
        <sz val="10"/>
        <rFont val="ＭＳ Ｐゴシック"/>
        <family val="3"/>
      </rPr>
      <t>1</t>
    </r>
  </si>
  <si>
    <r>
      <t>A</t>
    </r>
    <r>
      <rPr>
        <vertAlign val="subscript"/>
        <sz val="10"/>
        <rFont val="ＭＳ Ｐゴシック"/>
        <family val="3"/>
      </rPr>
      <t>2</t>
    </r>
  </si>
  <si>
    <r>
      <t>B</t>
    </r>
    <r>
      <rPr>
        <vertAlign val="subscript"/>
        <sz val="10"/>
        <rFont val="ＭＳ Ｐゴシック"/>
        <family val="3"/>
      </rPr>
      <t>1</t>
    </r>
  </si>
  <si>
    <r>
      <t>B</t>
    </r>
    <r>
      <rPr>
        <vertAlign val="subscript"/>
        <sz val="10"/>
        <rFont val="ＭＳ Ｐゴシック"/>
        <family val="3"/>
      </rPr>
      <t>2</t>
    </r>
  </si>
  <si>
    <r>
      <t>A/cm</t>
    </r>
    <r>
      <rPr>
        <vertAlign val="superscript"/>
        <sz val="10"/>
        <rFont val="ＭＳ Ｐゴシック"/>
        <family val="3"/>
      </rPr>
      <t>2</t>
    </r>
  </si>
  <si>
    <t>V/cell</t>
  </si>
  <si>
    <r>
      <t>Z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=B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/A</t>
    </r>
    <r>
      <rPr>
        <vertAlign val="subscript"/>
        <sz val="10"/>
        <rFont val="ＭＳ Ｐゴシック"/>
        <family val="3"/>
      </rPr>
      <t>1</t>
    </r>
  </si>
  <si>
    <r>
      <t>β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=Z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(I/S)</t>
    </r>
  </si>
  <si>
    <r>
      <t xml:space="preserve">7 Computation at </t>
    </r>
    <r>
      <rPr>
        <b/>
        <i/>
        <sz val="12"/>
        <rFont val="ＭＳ Ｐゴシック"/>
        <family val="3"/>
      </rPr>
      <t>V</t>
    </r>
    <r>
      <rPr>
        <b/>
        <vertAlign val="subscript"/>
        <sz val="12"/>
        <rFont val="ＭＳ Ｐゴシック"/>
        <family val="3"/>
      </rPr>
      <t>in</t>
    </r>
    <r>
      <rPr>
        <b/>
        <sz val="12"/>
        <rFont val="ＭＳ Ｐゴシック"/>
        <family val="3"/>
      </rPr>
      <t>=</t>
    </r>
    <r>
      <rPr>
        <b/>
        <i/>
        <sz val="12"/>
        <rFont val="ＭＳ Ｐゴシック"/>
        <family val="3"/>
      </rPr>
      <t>V</t>
    </r>
    <r>
      <rPr>
        <b/>
        <vertAlign val="subscript"/>
        <sz val="12"/>
        <rFont val="ＭＳ Ｐゴシック"/>
        <family val="3"/>
      </rPr>
      <t>p</t>
    </r>
  </si>
  <si>
    <r>
      <t xml:space="preserve">(1) Salt concentration, specific conductance and electric resistance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>=</t>
    </r>
    <r>
      <rPr>
        <i/>
        <sz val="10"/>
        <rFont val="ＭＳ Ｐゴシック"/>
        <family val="3"/>
      </rPr>
      <t xml:space="preserve">pl </t>
    </r>
    <r>
      <rPr>
        <sz val="10"/>
        <rFont val="ＭＳ Ｐゴシック"/>
        <family val="3"/>
      </rPr>
      <t>in desalting cells</t>
    </r>
  </si>
  <si>
    <r>
      <t>C'</t>
    </r>
    <r>
      <rPr>
        <vertAlign val="subscript"/>
        <sz val="10"/>
        <rFont val="ＭＳ Ｐゴシック"/>
        <family val="3"/>
      </rPr>
      <t>p,j,1</t>
    </r>
  </si>
  <si>
    <r>
      <t>C'</t>
    </r>
    <r>
      <rPr>
        <vertAlign val="subscript"/>
        <sz val="10"/>
        <color indexed="8"/>
        <rFont val="ＭＳ Ｐゴシック"/>
        <family val="3"/>
      </rPr>
      <t>p,j,2</t>
    </r>
  </si>
  <si>
    <r>
      <t>C'</t>
    </r>
    <r>
      <rPr>
        <vertAlign val="subscript"/>
        <sz val="10"/>
        <color indexed="8"/>
        <rFont val="ＭＳ Ｐゴシック"/>
        <family val="3"/>
      </rPr>
      <t>p,j,3</t>
    </r>
  </si>
  <si>
    <r>
      <t>κ'</t>
    </r>
    <r>
      <rPr>
        <vertAlign val="subscript"/>
        <sz val="10"/>
        <rFont val="ＭＳ Ｐゴシック"/>
        <family val="3"/>
      </rPr>
      <t>p,j</t>
    </r>
  </si>
  <si>
    <r>
      <t>r'</t>
    </r>
    <r>
      <rPr>
        <vertAlign val="subscript"/>
        <sz val="10"/>
        <rFont val="ＭＳ Ｐゴシック"/>
        <family val="3"/>
      </rPr>
      <t>p,j</t>
    </r>
  </si>
  <si>
    <r>
      <t>Y</t>
    </r>
    <r>
      <rPr>
        <vertAlign val="subscript"/>
        <sz val="10"/>
        <rFont val="ＭＳ Ｐゴシック"/>
        <family val="3"/>
      </rPr>
      <t>j</t>
    </r>
    <r>
      <rPr>
        <sz val="10"/>
        <rFont val="ＭＳ Ｐゴシック"/>
        <family val="3"/>
      </rPr>
      <t>×</t>
    </r>
    <r>
      <rPr>
        <i/>
        <sz val="10"/>
        <rFont val="ＭＳ Ｐゴシック"/>
        <family val="3"/>
      </rPr>
      <t>r'</t>
    </r>
    <r>
      <rPr>
        <vertAlign val="subscript"/>
        <sz val="10"/>
        <rFont val="ＭＳ Ｐゴシック"/>
        <family val="3"/>
      </rPr>
      <t>p,j</t>
    </r>
  </si>
  <si>
    <r>
      <t>g/dm</t>
    </r>
    <r>
      <rPr>
        <vertAlign val="superscript"/>
        <sz val="10"/>
        <color indexed="8"/>
        <rFont val="ＭＳ Ｐゴシック"/>
        <family val="3"/>
      </rPr>
      <t>3</t>
    </r>
  </si>
  <si>
    <r>
      <t>=</t>
    </r>
    <r>
      <rPr>
        <i/>
        <sz val="10"/>
        <color indexed="8"/>
        <rFont val="ＭＳ Ｐゴシック"/>
        <family val="3"/>
      </rPr>
      <t>C'</t>
    </r>
    <r>
      <rPr>
        <vertAlign val="subscript"/>
        <sz val="10"/>
        <color indexed="8"/>
        <rFont val="ＭＳ Ｐゴシック"/>
        <family val="3"/>
      </rPr>
      <t>p</t>
    </r>
  </si>
  <si>
    <r>
      <t>(2) Stack membrane potential at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>=</t>
    </r>
    <r>
      <rPr>
        <i/>
        <sz val="10"/>
        <rFont val="ＭＳ Ｐゴシック"/>
        <family val="3"/>
      </rPr>
      <t>pl</t>
    </r>
  </si>
  <si>
    <r>
      <t xml:space="preserve">(3) Stack electric resistance and membrane pair electric resistance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>=</t>
    </r>
    <r>
      <rPr>
        <i/>
        <sz val="10"/>
        <rFont val="ＭＳ Ｐゴシック"/>
        <family val="3"/>
      </rPr>
      <t>pl</t>
    </r>
  </si>
  <si>
    <r>
      <t>γ</t>
    </r>
    <r>
      <rPr>
        <i/>
        <vertAlign val="superscript"/>
        <sz val="10"/>
        <rFont val="ＭＳ Ｐゴシック"/>
        <family val="3"/>
      </rPr>
      <t>'</t>
    </r>
    <r>
      <rPr>
        <vertAlign val="subscript"/>
        <sz val="10"/>
        <rFont val="ＭＳ Ｐゴシック"/>
        <family val="3"/>
      </rPr>
      <t>p,j</t>
    </r>
  </si>
  <si>
    <r>
      <t>r</t>
    </r>
    <r>
      <rPr>
        <vertAlign val="subscript"/>
        <sz val="10"/>
        <rFont val="ＭＳ Ｐゴシック"/>
        <family val="3"/>
      </rPr>
      <t>p,j,memb</t>
    </r>
  </si>
  <si>
    <r>
      <t xml:space="preserve">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 xml:space="preserve"> = 0 </t>
    </r>
  </si>
  <si>
    <r>
      <t xml:space="preserve">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 xml:space="preserve"> = </t>
    </r>
    <r>
      <rPr>
        <i/>
        <sz val="10"/>
        <rFont val="ＭＳ Ｐゴシック"/>
        <family val="3"/>
      </rPr>
      <t xml:space="preserve">pl </t>
    </r>
  </si>
  <si>
    <t>Stack</t>
  </si>
  <si>
    <r>
      <t>Z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=C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/A</t>
    </r>
    <r>
      <rPr>
        <vertAlign val="subscript"/>
        <sz val="10"/>
        <rFont val="ＭＳ Ｐゴシック"/>
        <family val="3"/>
      </rPr>
      <t>1</t>
    </r>
  </si>
  <si>
    <r>
      <t>γ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=2{(3-2</t>
    </r>
  </si>
  <si>
    <r>
      <t>γ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=3{(Z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-</t>
    </r>
  </si>
  <si>
    <r>
      <t>Z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)(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)-</t>
    </r>
  </si>
  <si>
    <r>
      <t>2)(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)+Z</t>
    </r>
    <r>
      <rPr>
        <vertAlign val="subscript"/>
        <sz val="10"/>
        <rFont val="ＭＳ Ｐゴシック"/>
        <family val="3"/>
      </rPr>
      <t>4</t>
    </r>
    <r>
      <rPr>
        <sz val="10"/>
        <rFont val="ＭＳ Ｐゴシック"/>
        <family val="3"/>
      </rPr>
      <t>}</t>
    </r>
  </si>
  <si>
    <r>
      <t>C</t>
    </r>
    <r>
      <rPr>
        <vertAlign val="subscript"/>
        <sz val="10"/>
        <rFont val="ＭＳ Ｐゴシック"/>
        <family val="3"/>
      </rPr>
      <t>1</t>
    </r>
  </si>
  <si>
    <r>
      <t>C</t>
    </r>
    <r>
      <rPr>
        <vertAlign val="subscript"/>
        <sz val="10"/>
        <rFont val="ＭＳ Ｐゴシック"/>
        <family val="3"/>
      </rPr>
      <t>2</t>
    </r>
  </si>
  <si>
    <r>
      <t>2Z</t>
    </r>
    <r>
      <rPr>
        <vertAlign val="subscript"/>
        <sz val="10"/>
        <rFont val="ＭＳ Ｐゴシック"/>
        <family val="3"/>
      </rPr>
      <t>4</t>
    </r>
    <r>
      <rPr>
        <sz val="10"/>
        <rFont val="ＭＳ Ｐゴシック"/>
        <family val="3"/>
      </rPr>
      <t>}</t>
    </r>
  </si>
  <si>
    <t>= A</t>
  </si>
  <si>
    <t>9 Solution viscosity and pressure difference in desalting cells and concentrating cells</t>
  </si>
  <si>
    <t>(3)Pressure difference at outlet slots in desalting cells</t>
  </si>
  <si>
    <t>μ'(viscosity)</t>
  </si>
  <si>
    <r>
      <t>dyne/cm</t>
    </r>
    <r>
      <rPr>
        <vertAlign val="superscript"/>
        <sz val="10"/>
        <rFont val="ＭＳ Ｐゴシック"/>
        <family val="3"/>
      </rPr>
      <t>2</t>
    </r>
  </si>
  <si>
    <r>
      <t>kgf/cm</t>
    </r>
    <r>
      <rPr>
        <vertAlign val="superscript"/>
        <sz val="10"/>
        <color indexed="8"/>
        <rFont val="ＭＳ Ｐゴシック"/>
        <family val="3"/>
      </rPr>
      <t>2</t>
    </r>
  </si>
  <si>
    <t>(2) Pressure difference at inlet slots in desalting cells</t>
  </si>
  <si>
    <r>
      <t>μ'</t>
    </r>
    <r>
      <rPr>
        <vertAlign val="subscript"/>
        <sz val="10"/>
        <rFont val="ＭＳ Ｐゴシック"/>
        <family val="3"/>
      </rPr>
      <t>in</t>
    </r>
    <r>
      <rPr>
        <sz val="10"/>
        <rFont val="ＭＳ Ｐゴシック"/>
        <family val="3"/>
      </rPr>
      <t>(viscosity)</t>
    </r>
  </si>
  <si>
    <r>
      <t>C'</t>
    </r>
    <r>
      <rPr>
        <i/>
        <vertAlign val="subscript"/>
        <sz val="10"/>
        <rFont val="ＭＳ Ｐゴシック"/>
        <family val="3"/>
      </rPr>
      <t>out,3</t>
    </r>
  </si>
  <si>
    <r>
      <t>dyne/cm</t>
    </r>
    <r>
      <rPr>
        <vertAlign val="superscript"/>
        <sz val="10"/>
        <rFont val="ＭＳ Ｐゴシック"/>
        <family val="3"/>
      </rPr>
      <t>2</t>
    </r>
  </si>
  <si>
    <t>Pa</t>
  </si>
  <si>
    <r>
      <t>kgf/cm</t>
    </r>
    <r>
      <rPr>
        <vertAlign val="superscript"/>
        <sz val="10"/>
        <color indexed="8"/>
        <rFont val="ＭＳ Ｐゴシック"/>
        <family val="3"/>
      </rPr>
      <t>2</t>
    </r>
  </si>
  <si>
    <t>cm</t>
  </si>
  <si>
    <r>
      <t>C"</t>
    </r>
    <r>
      <rPr>
        <i/>
        <vertAlign val="subscript"/>
        <sz val="10"/>
        <rFont val="ＭＳ Ｐゴシック"/>
        <family val="3"/>
      </rPr>
      <t>p,3</t>
    </r>
  </si>
  <si>
    <t>g/kg</t>
  </si>
  <si>
    <t>μ"(viscosity)</t>
  </si>
  <si>
    <r>
      <t>dyne/cm</t>
    </r>
    <r>
      <rPr>
        <vertAlign val="superscript"/>
        <sz val="10"/>
        <color indexed="8"/>
        <rFont val="ＭＳ Ｐゴシック"/>
        <family val="3"/>
      </rPr>
      <t>2</t>
    </r>
  </si>
  <si>
    <t>(5) Pressure difference at inlet slots in concentrating cells</t>
  </si>
  <si>
    <r>
      <t>C"</t>
    </r>
    <r>
      <rPr>
        <i/>
        <vertAlign val="subscript"/>
        <sz val="10"/>
        <rFont val="ＭＳ Ｐゴシック"/>
        <family val="3"/>
      </rPr>
      <t>in,3</t>
    </r>
  </si>
  <si>
    <r>
      <t>μ"</t>
    </r>
    <r>
      <rPr>
        <vertAlign val="subscript"/>
        <sz val="10"/>
        <rFont val="ＭＳ Ｐゴシック"/>
        <family val="3"/>
      </rPr>
      <t>in</t>
    </r>
    <r>
      <rPr>
        <sz val="10"/>
        <rFont val="ＭＳ Ｐゴシック"/>
        <family val="3"/>
      </rPr>
      <t>(viscosity)</t>
    </r>
  </si>
  <si>
    <t>(6) Pressure difference at outlet slots in concentrating cells</t>
  </si>
  <si>
    <r>
      <t>C"</t>
    </r>
    <r>
      <rPr>
        <i/>
        <vertAlign val="subscript"/>
        <sz val="10"/>
        <rFont val="ＭＳ Ｐゴシック"/>
        <family val="3"/>
      </rPr>
      <t>out,3</t>
    </r>
  </si>
  <si>
    <r>
      <t>μ"</t>
    </r>
    <r>
      <rPr>
        <vertAlign val="subscript"/>
        <sz val="10"/>
        <rFont val="ＭＳ Ｐゴシック"/>
        <family val="3"/>
      </rPr>
      <t>out</t>
    </r>
    <r>
      <rPr>
        <sz val="10"/>
        <rFont val="ＭＳ Ｐゴシック"/>
        <family val="3"/>
      </rPr>
      <t>(viscosity)</t>
    </r>
  </si>
  <si>
    <t>10 Limiting current density</t>
  </si>
  <si>
    <r>
      <t>Adjust</t>
    </r>
    <r>
      <rPr>
        <i/>
        <sz val="10"/>
        <color indexed="10"/>
        <rFont val="ＭＳ Ｐゴシック"/>
        <family val="3"/>
      </rPr>
      <t xml:space="preserve"> C'</t>
    </r>
    <r>
      <rPr>
        <vertAlign val="subscript"/>
        <sz val="10"/>
        <color indexed="10"/>
        <rFont val="ＭＳ Ｐゴシック"/>
        <family val="3"/>
      </rPr>
      <t>out</t>
    </r>
    <r>
      <rPr>
        <vertAlign val="superscript"/>
        <sz val="10"/>
        <color indexed="10"/>
        <rFont val="ＭＳ Ｐゴシック"/>
        <family val="3"/>
      </rPr>
      <t xml:space="preserve"># </t>
    </r>
    <r>
      <rPr>
        <sz val="10"/>
        <color indexed="10"/>
        <rFont val="ＭＳ Ｐゴシック"/>
        <family val="3"/>
      </rPr>
      <t>to realize B = 0</t>
    </r>
  </si>
  <si>
    <t>Limiting current density</t>
  </si>
  <si>
    <r>
      <t>μ'</t>
    </r>
    <r>
      <rPr>
        <vertAlign val="subscript"/>
        <sz val="10"/>
        <rFont val="ＭＳ Ｐゴシック"/>
        <family val="3"/>
      </rPr>
      <t>out</t>
    </r>
    <r>
      <rPr>
        <sz val="10"/>
        <rFont val="ＭＳ Ｐゴシック"/>
        <family val="3"/>
      </rPr>
      <t>(viscosity)</t>
    </r>
  </si>
  <si>
    <t xml:space="preserve">   Membrane pair characteristics, Transport number, Alternating current electric resistance, Structure of gaskets.</t>
  </si>
  <si>
    <r>
      <t>(1) Salt concentration, specific conductivity and electric resistance at</t>
    </r>
    <r>
      <rPr>
        <i/>
        <sz val="10"/>
        <rFont val="ＭＳ Ｐゴシック"/>
        <family val="3"/>
      </rPr>
      <t xml:space="preserve"> x </t>
    </r>
    <r>
      <rPr>
        <sz val="10"/>
        <rFont val="ＭＳ Ｐゴシック"/>
        <family val="3"/>
      </rPr>
      <t xml:space="preserve">= </t>
    </r>
    <r>
      <rPr>
        <i/>
        <sz val="10"/>
        <rFont val="ＭＳ Ｐゴシック"/>
        <family val="3"/>
      </rPr>
      <t xml:space="preserve">l </t>
    </r>
    <r>
      <rPr>
        <sz val="10"/>
        <rFont val="ＭＳ Ｐゴシック"/>
        <family val="3"/>
      </rPr>
      <t>in desalting cells</t>
    </r>
  </si>
  <si>
    <r>
      <t>eq/cm</t>
    </r>
    <r>
      <rPr>
        <vertAlign val="superscript"/>
        <sz val="10"/>
        <color indexed="12"/>
        <rFont val="ＭＳ Ｐゴシック"/>
        <family val="3"/>
      </rPr>
      <t>3</t>
    </r>
  </si>
  <si>
    <r>
      <t>N</t>
    </r>
    <r>
      <rPr>
        <sz val="10"/>
        <rFont val="ＭＳ Ｐゴシック"/>
        <family val="3"/>
      </rPr>
      <t>+1</t>
    </r>
  </si>
  <si>
    <t>χ</t>
  </si>
  <si>
    <t>θ</t>
  </si>
  <si>
    <t>w'</t>
  </si>
  <si>
    <t>h'</t>
  </si>
  <si>
    <t>n'</t>
  </si>
  <si>
    <t>w"</t>
  </si>
  <si>
    <t>h"</t>
  </si>
  <si>
    <t>n"</t>
  </si>
  <si>
    <t>Slit hydrodynamic diameter</t>
  </si>
  <si>
    <r>
      <t>C"</t>
    </r>
    <r>
      <rPr>
        <i/>
        <vertAlign val="subscript"/>
        <sz val="10"/>
        <rFont val="ＭＳ Ｐゴシック"/>
        <family val="3"/>
      </rPr>
      <t>out</t>
    </r>
  </si>
  <si>
    <t>Salt concentration at the outlets of concentrating cells</t>
  </si>
  <si>
    <t>Desalting ratio</t>
  </si>
  <si>
    <r>
      <t>eq/cm</t>
    </r>
    <r>
      <rPr>
        <vertAlign val="superscript"/>
        <sz val="10"/>
        <color indexed="10"/>
        <rFont val="ＭＳ Ｐゴシック"/>
        <family val="3"/>
      </rPr>
      <t>3</t>
    </r>
  </si>
  <si>
    <r>
      <t>m</t>
    </r>
    <r>
      <rPr>
        <vertAlign val="subscript"/>
        <sz val="10"/>
        <color indexed="12"/>
        <rFont val="ＭＳ Ｐゴシック"/>
        <family val="3"/>
      </rPr>
      <t>1</t>
    </r>
  </si>
  <si>
    <r>
      <t>m</t>
    </r>
    <r>
      <rPr>
        <vertAlign val="subscript"/>
        <sz val="10"/>
        <color indexed="12"/>
        <rFont val="ＭＳ Ｐゴシック"/>
        <family val="3"/>
      </rPr>
      <t>2</t>
    </r>
  </si>
  <si>
    <r>
      <t>n</t>
    </r>
    <r>
      <rPr>
        <vertAlign val="subscript"/>
        <sz val="10"/>
        <color indexed="12"/>
        <rFont val="ＭＳ Ｐゴシック"/>
        <family val="3"/>
      </rPr>
      <t>1</t>
    </r>
  </si>
  <si>
    <r>
      <t>n</t>
    </r>
    <r>
      <rPr>
        <vertAlign val="subscript"/>
        <sz val="10"/>
        <color indexed="12"/>
        <rFont val="ＭＳ Ｐゴシック"/>
        <family val="3"/>
      </rPr>
      <t>2</t>
    </r>
  </si>
  <si>
    <r>
      <t>ζ</t>
    </r>
    <r>
      <rPr>
        <vertAlign val="subscript"/>
        <sz val="10"/>
        <color indexed="10"/>
        <rFont val="ＭＳ Ｐゴシック"/>
        <family val="3"/>
      </rPr>
      <t>inout</t>
    </r>
  </si>
  <si>
    <r>
      <t>ζ</t>
    </r>
    <r>
      <rPr>
        <vertAlign val="subscript"/>
        <sz val="10"/>
        <color indexed="10"/>
        <rFont val="ＭＳ Ｐゴシック"/>
        <family val="3"/>
      </rPr>
      <t>inp</t>
    </r>
  </si>
  <si>
    <r>
      <t>ζ</t>
    </r>
    <r>
      <rPr>
        <vertAlign val="subscript"/>
        <sz val="10"/>
        <color indexed="10"/>
        <rFont val="ＭＳ Ｐゴシック"/>
        <family val="3"/>
      </rPr>
      <t>out</t>
    </r>
  </si>
  <si>
    <t>cm/s</t>
  </si>
  <si>
    <t>cm/s</t>
  </si>
  <si>
    <r>
      <t>l</t>
    </r>
    <r>
      <rPr>
        <vertAlign val="subscript"/>
        <sz val="10"/>
        <color indexed="12"/>
        <rFont val="ＭＳ Ｐゴシック"/>
        <family val="3"/>
      </rPr>
      <t>1</t>
    </r>
  </si>
  <si>
    <r>
      <t>l</t>
    </r>
    <r>
      <rPr>
        <vertAlign val="subscript"/>
        <sz val="10"/>
        <color indexed="12"/>
        <rFont val="ＭＳ Ｐゴシック"/>
        <family val="3"/>
      </rPr>
      <t>2</t>
    </r>
  </si>
  <si>
    <r>
      <t>l</t>
    </r>
    <r>
      <rPr>
        <vertAlign val="subscript"/>
        <sz val="10"/>
        <color indexed="12"/>
        <rFont val="ＭＳ Ｐゴシック"/>
        <family val="3"/>
      </rPr>
      <t>3</t>
    </r>
  </si>
  <si>
    <r>
      <t>Z</t>
    </r>
    <r>
      <rPr>
        <i/>
        <vertAlign val="subscript"/>
        <sz val="10"/>
        <color indexed="10"/>
        <rFont val="ＭＳ Ｐゴシック"/>
        <family val="3"/>
      </rPr>
      <t>1</t>
    </r>
    <r>
      <rPr>
        <sz val="10"/>
        <color indexed="10"/>
        <rFont val="ＭＳ Ｐゴシック"/>
        <family val="3"/>
      </rPr>
      <t xml:space="preserve"> </t>
    </r>
  </si>
  <si>
    <r>
      <t>Z</t>
    </r>
    <r>
      <rPr>
        <i/>
        <vertAlign val="subscript"/>
        <sz val="10"/>
        <color indexed="10"/>
        <rFont val="ＭＳ Ｐゴシック"/>
        <family val="3"/>
      </rPr>
      <t>2</t>
    </r>
  </si>
  <si>
    <r>
      <t>Z</t>
    </r>
    <r>
      <rPr>
        <i/>
        <vertAlign val="subscript"/>
        <sz val="10"/>
        <color indexed="10"/>
        <rFont val="ＭＳ Ｐゴシック"/>
        <family val="3"/>
      </rPr>
      <t>1</t>
    </r>
    <r>
      <rPr>
        <sz val="10"/>
        <color indexed="10"/>
        <rFont val="ＭＳ Ｐゴシック"/>
        <family val="3"/>
      </rPr>
      <t xml:space="preserve"> - </t>
    </r>
    <r>
      <rPr>
        <i/>
        <sz val="10"/>
        <color indexed="10"/>
        <rFont val="ＭＳ Ｐゴシック"/>
        <family val="3"/>
      </rPr>
      <t>Z</t>
    </r>
    <r>
      <rPr>
        <i/>
        <vertAlign val="subscript"/>
        <sz val="10"/>
        <color indexed="10"/>
        <rFont val="ＭＳ Ｐゴシック"/>
        <family val="3"/>
      </rPr>
      <t>2</t>
    </r>
  </si>
  <si>
    <t>P</t>
  </si>
  <si>
    <t>Q</t>
  </si>
  <si>
    <r>
      <t>eq/cm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s</t>
    </r>
  </si>
  <si>
    <r>
      <t>C"</t>
    </r>
    <r>
      <rPr>
        <i/>
        <vertAlign val="subscript"/>
        <sz val="10"/>
        <rFont val="ＭＳ Ｐゴシック"/>
        <family val="3"/>
      </rPr>
      <t>p</t>
    </r>
    <r>
      <rPr>
        <i/>
        <vertAlign val="superscript"/>
        <sz val="10"/>
        <rFont val="ＭＳ Ｐゴシック"/>
        <family val="3"/>
      </rPr>
      <t>♭</t>
    </r>
  </si>
  <si>
    <t>Salt concentration of a solution passing through a membrane pair</t>
  </si>
  <si>
    <t>a</t>
  </si>
  <si>
    <t>N</t>
  </si>
  <si>
    <r>
      <t>ΔP'</t>
    </r>
    <r>
      <rPr>
        <i/>
        <vertAlign val="subscript"/>
        <sz val="10"/>
        <rFont val="ＭＳ Ｐゴシック"/>
        <family val="3"/>
      </rPr>
      <t>slot,in</t>
    </r>
  </si>
  <si>
    <r>
      <t>ΔP"</t>
    </r>
    <r>
      <rPr>
        <i/>
        <vertAlign val="subscript"/>
        <sz val="10"/>
        <color indexed="8"/>
        <rFont val="ＭＳ Ｐゴシック"/>
        <family val="3"/>
      </rPr>
      <t>slot,in</t>
    </r>
  </si>
  <si>
    <r>
      <t>ΔP"</t>
    </r>
    <r>
      <rPr>
        <i/>
        <vertAlign val="subscript"/>
        <sz val="10"/>
        <color indexed="8"/>
        <rFont val="ＭＳ Ｐゴシック"/>
        <family val="3"/>
      </rPr>
      <t>slot,out</t>
    </r>
  </si>
  <si>
    <r>
      <t>C'</t>
    </r>
    <r>
      <rPr>
        <i/>
        <vertAlign val="subscript"/>
        <sz val="10"/>
        <rFont val="ＭＳ Ｐゴシック"/>
        <family val="3"/>
      </rPr>
      <t>1n,3</t>
    </r>
  </si>
  <si>
    <r>
      <t>C'</t>
    </r>
    <r>
      <rPr>
        <i/>
        <vertAlign val="subscript"/>
        <sz val="10"/>
        <rFont val="ＭＳ Ｐゴシック"/>
        <family val="3"/>
      </rPr>
      <t>p,3</t>
    </r>
  </si>
  <si>
    <r>
      <t>mg/dm</t>
    </r>
    <r>
      <rPr>
        <b/>
        <vertAlign val="superscript"/>
        <sz val="10"/>
        <color indexed="12"/>
        <rFont val="ＭＳ Ｐゴシック"/>
        <family val="3"/>
      </rPr>
      <t>2</t>
    </r>
  </si>
  <si>
    <r>
      <t>ΔP'</t>
    </r>
    <r>
      <rPr>
        <i/>
        <vertAlign val="subscript"/>
        <sz val="10"/>
        <color indexed="8"/>
        <rFont val="ＭＳ Ｐゴシック"/>
        <family val="3"/>
      </rPr>
      <t>slot,out</t>
    </r>
  </si>
  <si>
    <t>g/cms = poise</t>
  </si>
  <si>
    <t xml:space="preserve">g/cms = poise </t>
  </si>
  <si>
    <t>p</t>
  </si>
  <si>
    <r>
      <t>C'</t>
    </r>
    <r>
      <rPr>
        <b/>
        <i/>
        <vertAlign val="subscript"/>
        <sz val="10"/>
        <color indexed="12"/>
        <rFont val="ＭＳ Ｐゴシック"/>
        <family val="3"/>
      </rPr>
      <t>in</t>
    </r>
    <r>
      <rPr>
        <b/>
        <sz val="10"/>
        <color indexed="12"/>
        <rFont val="ＭＳ Ｐゴシック"/>
        <family val="3"/>
      </rPr>
      <t xml:space="preserve"> </t>
    </r>
  </si>
  <si>
    <t>T</t>
  </si>
  <si>
    <t>Summary</t>
  </si>
  <si>
    <r>
      <t>C'</t>
    </r>
    <r>
      <rPr>
        <i/>
        <vertAlign val="subscript"/>
        <sz val="12"/>
        <rFont val="ＭＳ Ｐゴシック"/>
        <family val="3"/>
      </rPr>
      <t>in</t>
    </r>
  </si>
  <si>
    <r>
      <t>mg/dm</t>
    </r>
    <r>
      <rPr>
        <vertAlign val="superscript"/>
        <sz val="12"/>
        <rFont val="ＭＳ Ｐゴシック"/>
        <family val="3"/>
      </rPr>
      <t>3</t>
    </r>
  </si>
  <si>
    <r>
      <t>u'</t>
    </r>
    <r>
      <rPr>
        <i/>
        <vertAlign val="subscript"/>
        <sz val="12"/>
        <rFont val="ＭＳ Ｐゴシック"/>
        <family val="3"/>
      </rPr>
      <t>in</t>
    </r>
  </si>
  <si>
    <r>
      <t>u"</t>
    </r>
    <r>
      <rPr>
        <i/>
        <vertAlign val="subscript"/>
        <sz val="12"/>
        <rFont val="ＭＳ Ｐゴシック"/>
        <family val="3"/>
      </rPr>
      <t>in</t>
    </r>
  </si>
  <si>
    <t>pair</t>
  </si>
  <si>
    <r>
      <t>J</t>
    </r>
    <r>
      <rPr>
        <i/>
        <vertAlign val="subscript"/>
        <sz val="12"/>
        <color indexed="8"/>
        <rFont val="ＭＳ Ｐゴシック"/>
        <family val="3"/>
      </rPr>
      <t>S</t>
    </r>
  </si>
  <si>
    <r>
      <t>eq/cm</t>
    </r>
    <r>
      <rPr>
        <vertAlign val="super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・s</t>
    </r>
  </si>
  <si>
    <t>η</t>
  </si>
  <si>
    <r>
      <t>ΔP'</t>
    </r>
    <r>
      <rPr>
        <i/>
        <vertAlign val="subscript"/>
        <sz val="12"/>
        <rFont val="ＭＳ Ｐゴシック"/>
        <family val="3"/>
      </rPr>
      <t>cell</t>
    </r>
  </si>
  <si>
    <r>
      <t>J</t>
    </r>
    <r>
      <rPr>
        <i/>
        <vertAlign val="subscript"/>
        <sz val="12"/>
        <rFont val="ＭＳ Ｐゴシック"/>
        <family val="3"/>
      </rPr>
      <t>V</t>
    </r>
  </si>
  <si>
    <r>
      <t>cm</t>
    </r>
    <r>
      <rPr>
        <vertAlign val="superscript"/>
        <sz val="12"/>
        <color indexed="8"/>
        <rFont val="ＭＳ Ｐゴシック"/>
        <family val="3"/>
      </rPr>
      <t>3</t>
    </r>
    <r>
      <rPr>
        <sz val="12"/>
        <color indexed="8"/>
        <rFont val="ＭＳ Ｐゴシック"/>
        <family val="3"/>
      </rPr>
      <t>/cm</t>
    </r>
    <r>
      <rPr>
        <vertAlign val="super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・s</t>
    </r>
  </si>
  <si>
    <r>
      <t>ΔP'</t>
    </r>
    <r>
      <rPr>
        <i/>
        <vertAlign val="subscript"/>
        <sz val="12"/>
        <rFont val="ＭＳ Ｐゴシック"/>
        <family val="3"/>
      </rPr>
      <t>total</t>
    </r>
  </si>
  <si>
    <r>
      <t>C'</t>
    </r>
    <r>
      <rPr>
        <i/>
        <vertAlign val="subscript"/>
        <sz val="12"/>
        <rFont val="ＭＳ Ｐゴシック"/>
        <family val="3"/>
      </rPr>
      <t>out</t>
    </r>
  </si>
  <si>
    <r>
      <t>mg/dm</t>
    </r>
    <r>
      <rPr>
        <vertAlign val="superscript"/>
        <sz val="12"/>
        <rFont val="ＭＳ Ｐゴシック"/>
        <family val="3"/>
      </rPr>
      <t>3</t>
    </r>
  </si>
  <si>
    <r>
      <t>ΔP"</t>
    </r>
    <r>
      <rPr>
        <i/>
        <vertAlign val="subscript"/>
        <sz val="12"/>
        <color indexed="8"/>
        <rFont val="ＭＳ Ｐゴシック"/>
        <family val="3"/>
      </rPr>
      <t>cell</t>
    </r>
  </si>
  <si>
    <r>
      <t>C"</t>
    </r>
    <r>
      <rPr>
        <i/>
        <vertAlign val="subscript"/>
        <sz val="12"/>
        <rFont val="ＭＳ Ｐゴシック"/>
        <family val="3"/>
      </rPr>
      <t>out</t>
    </r>
  </si>
  <si>
    <t>V/pair</t>
  </si>
  <si>
    <r>
      <t>ΔP"</t>
    </r>
    <r>
      <rPr>
        <i/>
        <vertAlign val="subscript"/>
        <sz val="12"/>
        <color indexed="8"/>
        <rFont val="ＭＳ Ｐゴシック"/>
        <family val="3"/>
      </rPr>
      <t>total</t>
    </r>
  </si>
  <si>
    <r>
      <t>C"</t>
    </r>
    <r>
      <rPr>
        <i/>
        <vertAlign val="subscript"/>
        <sz val="12"/>
        <rFont val="ＭＳ Ｐゴシック"/>
        <family val="3"/>
      </rPr>
      <t>p</t>
    </r>
    <r>
      <rPr>
        <i/>
        <vertAlign val="superscript"/>
        <sz val="12"/>
        <rFont val="ＭＳ Ｐゴシック"/>
        <family val="3"/>
      </rPr>
      <t>♭</t>
    </r>
  </si>
  <si>
    <t>E</t>
  </si>
  <si>
    <r>
      <t>kWh/m</t>
    </r>
    <r>
      <rPr>
        <vertAlign val="superscript"/>
        <sz val="12"/>
        <color indexed="8"/>
        <rFont val="ＭＳ Ｐゴシック"/>
        <family val="3"/>
      </rPr>
      <t>3</t>
    </r>
  </si>
  <si>
    <r>
      <t>(</t>
    </r>
    <r>
      <rPr>
        <i/>
        <sz val="12"/>
        <color indexed="8"/>
        <rFont val="ＭＳ Ｐゴシック"/>
        <family val="3"/>
      </rPr>
      <t>I/S</t>
    </r>
    <r>
      <rPr>
        <sz val="12"/>
        <color indexed="8"/>
        <rFont val="ＭＳ Ｐゴシック"/>
        <family val="3"/>
      </rPr>
      <t>)</t>
    </r>
    <r>
      <rPr>
        <vertAlign val="subscript"/>
        <sz val="12"/>
        <color indexed="8"/>
        <rFont val="ＭＳ Ｐゴシック"/>
        <family val="3"/>
      </rPr>
      <t>lim</t>
    </r>
  </si>
  <si>
    <r>
      <t>A/dm</t>
    </r>
    <r>
      <rPr>
        <vertAlign val="superscript"/>
        <sz val="12"/>
        <color indexed="8"/>
        <rFont val="ＭＳ Ｐゴシック"/>
        <family val="3"/>
      </rPr>
      <t>2</t>
    </r>
  </si>
  <si>
    <r>
      <t>ζ</t>
    </r>
    <r>
      <rPr>
        <vertAlign val="subscript"/>
        <sz val="12"/>
        <color indexed="8"/>
        <rFont val="ＭＳ Ｐゴシック"/>
        <family val="3"/>
      </rPr>
      <t>out</t>
    </r>
  </si>
  <si>
    <t>N</t>
  </si>
  <si>
    <t>cells</t>
  </si>
  <si>
    <t>Nunmber of desalting cells</t>
  </si>
  <si>
    <t>Solution flux</t>
  </si>
  <si>
    <t>Out put of a desalted solution</t>
  </si>
  <si>
    <t xml:space="preserve">A </t>
  </si>
  <si>
    <t xml:space="preserve">B </t>
  </si>
  <si>
    <t>L</t>
  </si>
  <si>
    <t xml:space="preserve">M  </t>
  </si>
  <si>
    <t xml:space="preserve">N </t>
  </si>
  <si>
    <r>
      <t>mg/dm</t>
    </r>
    <r>
      <rPr>
        <vertAlign val="superscript"/>
        <sz val="10"/>
        <color indexed="12"/>
        <rFont val="ＭＳ Ｐゴシック"/>
        <family val="3"/>
      </rPr>
      <t>2</t>
    </r>
  </si>
  <si>
    <t>Control key 2</t>
  </si>
  <si>
    <r>
      <t xml:space="preserve">For preventing circular reference, Adjust </t>
    </r>
    <r>
      <rPr>
        <i/>
        <sz val="10"/>
        <color indexed="10"/>
        <rFont val="ＭＳ Ｐゴシック"/>
        <family val="3"/>
      </rPr>
      <t>C'</t>
    </r>
    <r>
      <rPr>
        <i/>
        <vertAlign val="subscript"/>
        <sz val="10"/>
        <color indexed="10"/>
        <rFont val="ＭＳ Ｐゴシック"/>
        <family val="3"/>
      </rPr>
      <t>p</t>
    </r>
    <r>
      <rPr>
        <i/>
        <vertAlign val="superscript"/>
        <sz val="10"/>
        <color indexed="10"/>
        <rFont val="ＭＳ Ｐゴシック"/>
        <family val="3"/>
      </rPr>
      <t>*</t>
    </r>
    <r>
      <rPr>
        <sz val="10"/>
        <color indexed="10"/>
        <rFont val="ＭＳ Ｐゴシック"/>
        <family val="3"/>
      </rPr>
      <t xml:space="preserve"> to </t>
    </r>
    <r>
      <rPr>
        <i/>
        <sz val="10"/>
        <color indexed="10"/>
        <rFont val="ＭＳ Ｐゴシック"/>
        <family val="3"/>
      </rPr>
      <t>C'</t>
    </r>
    <r>
      <rPr>
        <i/>
        <vertAlign val="subscript"/>
        <sz val="10"/>
        <color indexed="10"/>
        <rFont val="ＭＳ Ｐゴシック"/>
        <family val="3"/>
      </rPr>
      <t xml:space="preserve">p  </t>
    </r>
    <r>
      <rPr>
        <sz val="10"/>
        <color indexed="10"/>
        <rFont val="ＭＳ Ｐゴシック"/>
        <family val="3"/>
      </rPr>
      <t>Decision point 1  Control key 1</t>
    </r>
  </si>
  <si>
    <r>
      <t xml:space="preserve">For preventing circular reference, Adjust </t>
    </r>
    <r>
      <rPr>
        <i/>
        <sz val="10"/>
        <color indexed="10"/>
        <rFont val="ＭＳ Ｐゴシック"/>
        <family val="3"/>
      </rPr>
      <t>C"</t>
    </r>
    <r>
      <rPr>
        <i/>
        <vertAlign val="subscript"/>
        <sz val="10"/>
        <color indexed="10"/>
        <rFont val="ＭＳ Ｐゴシック"/>
        <family val="3"/>
      </rPr>
      <t>p</t>
    </r>
    <r>
      <rPr>
        <i/>
        <vertAlign val="superscript"/>
        <sz val="10"/>
        <color indexed="10"/>
        <rFont val="ＭＳ Ｐゴシック"/>
        <family val="3"/>
      </rPr>
      <t>*</t>
    </r>
    <r>
      <rPr>
        <sz val="10"/>
        <color indexed="10"/>
        <rFont val="ＭＳ Ｐゴシック"/>
        <family val="3"/>
      </rPr>
      <t xml:space="preserve"> to </t>
    </r>
    <r>
      <rPr>
        <i/>
        <sz val="10"/>
        <color indexed="10"/>
        <rFont val="ＭＳ Ｐゴシック"/>
        <family val="3"/>
      </rPr>
      <t>C"</t>
    </r>
    <r>
      <rPr>
        <i/>
        <vertAlign val="subscript"/>
        <sz val="10"/>
        <color indexed="10"/>
        <rFont val="ＭＳ Ｐゴシック"/>
        <family val="3"/>
      </rPr>
      <t xml:space="preserve">p  </t>
    </r>
    <r>
      <rPr>
        <sz val="10"/>
        <color indexed="10"/>
        <rFont val="ＭＳ Ｐゴシック"/>
        <family val="3"/>
      </rPr>
      <t>Decision poit 1  Control key 1</t>
    </r>
  </si>
  <si>
    <r>
      <t>Y</t>
    </r>
    <r>
      <rPr>
        <vertAlign val="subscript"/>
        <sz val="10"/>
        <rFont val="ＭＳ Ｐゴシック"/>
        <family val="3"/>
      </rPr>
      <t>j</t>
    </r>
    <r>
      <rPr>
        <sz val="10"/>
        <rFont val="ＭＳ Ｐゴシック"/>
        <family val="3"/>
      </rPr>
      <t>×ln(</t>
    </r>
    <r>
      <rPr>
        <i/>
        <sz val="10"/>
        <rFont val="ＭＳ Ｐゴシック"/>
        <family val="3"/>
      </rPr>
      <t>γ"</t>
    </r>
    <r>
      <rPr>
        <i/>
        <vertAlign val="subscript"/>
        <sz val="10"/>
        <rFont val="ＭＳ Ｐゴシック"/>
        <family val="3"/>
      </rPr>
      <t>out</t>
    </r>
    <r>
      <rPr>
        <i/>
        <sz val="10"/>
        <rFont val="ＭＳ Ｐゴシック"/>
        <family val="3"/>
      </rPr>
      <t>C"</t>
    </r>
    <r>
      <rPr>
        <i/>
        <vertAlign val="subscript"/>
        <sz val="10"/>
        <rFont val="ＭＳ Ｐゴシック"/>
        <family val="3"/>
      </rPr>
      <t>out</t>
    </r>
  </si>
  <si>
    <r>
      <t>r</t>
    </r>
    <r>
      <rPr>
        <vertAlign val="subscript"/>
        <sz val="10"/>
        <rFont val="ＭＳ Ｐゴシック"/>
        <family val="3"/>
      </rPr>
      <t>dire</t>
    </r>
    <r>
      <rPr>
        <sz val="10"/>
        <rFont val="ＭＳ Ｐゴシック"/>
        <family val="3"/>
      </rPr>
      <t>*/</t>
    </r>
    <r>
      <rPr>
        <i/>
        <sz val="10"/>
        <rFont val="ＭＳ Ｐゴシック"/>
        <family val="3"/>
      </rPr>
      <t>r</t>
    </r>
    <r>
      <rPr>
        <i/>
        <vertAlign val="subscript"/>
        <sz val="10"/>
        <rFont val="ＭＳ Ｐゴシック"/>
        <family val="3"/>
      </rPr>
      <t>alter</t>
    </r>
  </si>
  <si>
    <r>
      <t>r</t>
    </r>
    <r>
      <rPr>
        <vertAlign val="subscript"/>
        <sz val="10"/>
        <rFont val="ＭＳ Ｐゴシック"/>
        <family val="3"/>
      </rPr>
      <t>dire,out,j</t>
    </r>
    <r>
      <rPr>
        <sz val="10"/>
        <rFont val="ＭＳ Ｐゴシック"/>
        <family val="3"/>
      </rPr>
      <t>/</t>
    </r>
    <r>
      <rPr>
        <i/>
        <sz val="10"/>
        <rFont val="ＭＳ Ｐゴシック"/>
        <family val="3"/>
      </rPr>
      <t>r</t>
    </r>
    <r>
      <rPr>
        <i/>
        <vertAlign val="subscript"/>
        <sz val="10"/>
        <rFont val="ＭＳ Ｐゴシック"/>
        <family val="3"/>
      </rPr>
      <t>dire</t>
    </r>
    <r>
      <rPr>
        <i/>
        <vertAlign val="superscript"/>
        <sz val="10"/>
        <rFont val="ＭＳ Ｐゴシック"/>
        <family val="3"/>
      </rPr>
      <t>*</t>
    </r>
  </si>
  <si>
    <r>
      <t>Y</t>
    </r>
    <r>
      <rPr>
        <vertAlign val="subscript"/>
        <sz val="10"/>
        <rFont val="ＭＳ Ｐゴシック"/>
        <family val="3"/>
      </rPr>
      <t>j</t>
    </r>
    <r>
      <rPr>
        <sz val="10"/>
        <rFont val="ＭＳ Ｐゴシック"/>
        <family val="3"/>
      </rPr>
      <t>×</t>
    </r>
    <r>
      <rPr>
        <i/>
        <sz val="10"/>
        <rFont val="ＭＳ Ｐゴシック"/>
        <family val="3"/>
      </rPr>
      <t>r</t>
    </r>
    <r>
      <rPr>
        <vertAlign val="subscript"/>
        <sz val="10"/>
        <rFont val="ＭＳ Ｐゴシック"/>
        <family val="3"/>
      </rPr>
      <t>out,j,memb</t>
    </r>
  </si>
  <si>
    <r>
      <t>/</t>
    </r>
    <r>
      <rPr>
        <i/>
        <sz val="10"/>
        <rFont val="ＭＳ Ｐゴシック"/>
        <family val="3"/>
      </rPr>
      <t>γ'</t>
    </r>
    <r>
      <rPr>
        <vertAlign val="subscript"/>
        <sz val="10"/>
        <rFont val="ＭＳ Ｐゴシック"/>
        <family val="3"/>
      </rPr>
      <t>out,</t>
    </r>
    <r>
      <rPr>
        <i/>
        <vertAlign val="subscript"/>
        <sz val="10"/>
        <rFont val="ＭＳ Ｐゴシック"/>
        <family val="3"/>
      </rPr>
      <t>j</t>
    </r>
    <r>
      <rPr>
        <i/>
        <sz val="10"/>
        <rFont val="ＭＳ Ｐゴシック"/>
        <family val="3"/>
      </rPr>
      <t>C'</t>
    </r>
    <r>
      <rPr>
        <i/>
        <vertAlign val="subscript"/>
        <sz val="10"/>
        <rFont val="ＭＳ Ｐゴシック"/>
        <family val="3"/>
      </rPr>
      <t>out,j</t>
    </r>
  </si>
  <si>
    <r>
      <t>Z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 xml:space="preserve"> =</t>
    </r>
    <r>
      <rPr>
        <vertAlign val="subscript"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-(A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-B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)/A</t>
    </r>
    <r>
      <rPr>
        <vertAlign val="subscript"/>
        <sz val="10"/>
        <rFont val="ＭＳ Ｐゴシック"/>
        <family val="3"/>
      </rPr>
      <t>1</t>
    </r>
  </si>
  <si>
    <r>
      <t>α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=(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)-Z</t>
    </r>
    <r>
      <rPr>
        <vertAlign val="subscript"/>
        <sz val="10"/>
        <rFont val="ＭＳ Ｐゴシック"/>
        <family val="3"/>
      </rPr>
      <t>2</t>
    </r>
  </si>
  <si>
    <r>
      <t>α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=-2{3(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)-2Z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}</t>
    </r>
  </si>
  <si>
    <r>
      <t>α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=3{2(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)-Z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}</t>
    </r>
  </si>
  <si>
    <r>
      <t>β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=3(Z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+1)(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</t>
    </r>
  </si>
  <si>
    <r>
      <t>β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=-2(2Z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+1)(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</t>
    </r>
  </si>
  <si>
    <r>
      <t>Y</t>
    </r>
    <r>
      <rPr>
        <vertAlign val="subscript"/>
        <sz val="10"/>
        <rFont val="ＭＳ Ｐゴシック"/>
        <family val="3"/>
      </rPr>
      <t>j</t>
    </r>
    <r>
      <rPr>
        <sz val="10"/>
        <rFont val="ＭＳ Ｐゴシック"/>
        <family val="3"/>
      </rPr>
      <t>×ln(</t>
    </r>
    <r>
      <rPr>
        <i/>
        <sz val="10"/>
        <rFont val="ＭＳ Ｐゴシック"/>
        <family val="3"/>
      </rPr>
      <t>γ"C"</t>
    </r>
    <r>
      <rPr>
        <i/>
        <vertAlign val="subscript"/>
        <sz val="10"/>
        <rFont val="ＭＳ Ｐゴシック"/>
        <family val="3"/>
      </rPr>
      <t>1</t>
    </r>
  </si>
  <si>
    <r>
      <t>/γ'</t>
    </r>
    <r>
      <rPr>
        <i/>
        <vertAlign val="subscript"/>
        <sz val="10"/>
        <rFont val="ＭＳ Ｐゴシック"/>
        <family val="3"/>
      </rPr>
      <t>p,j</t>
    </r>
    <r>
      <rPr>
        <i/>
        <sz val="10"/>
        <rFont val="ＭＳ Ｐゴシック"/>
        <family val="3"/>
      </rPr>
      <t>C'</t>
    </r>
    <r>
      <rPr>
        <i/>
        <vertAlign val="subscript"/>
        <sz val="10"/>
        <rFont val="ＭＳ Ｐゴシック"/>
        <family val="3"/>
      </rPr>
      <t>p,j,1</t>
    </r>
  </si>
  <si>
    <r>
      <t>r</t>
    </r>
    <r>
      <rPr>
        <vertAlign val="subscript"/>
        <sz val="10"/>
        <rFont val="ＭＳ Ｐゴシック"/>
        <family val="3"/>
      </rPr>
      <t>dire,p,j</t>
    </r>
    <r>
      <rPr>
        <sz val="10"/>
        <rFont val="ＭＳ Ｐゴシック"/>
        <family val="3"/>
      </rPr>
      <t>/</t>
    </r>
    <r>
      <rPr>
        <i/>
        <sz val="10"/>
        <rFont val="ＭＳ Ｐゴシック"/>
        <family val="3"/>
      </rPr>
      <t>r</t>
    </r>
    <r>
      <rPr>
        <i/>
        <vertAlign val="subscript"/>
        <sz val="10"/>
        <rFont val="ＭＳ Ｐゴシック"/>
        <family val="3"/>
      </rPr>
      <t>dire</t>
    </r>
    <r>
      <rPr>
        <i/>
        <vertAlign val="superscript"/>
        <sz val="10"/>
        <rFont val="ＭＳ Ｐゴシック"/>
        <family val="3"/>
      </rPr>
      <t>*</t>
    </r>
  </si>
  <si>
    <r>
      <t>Y</t>
    </r>
    <r>
      <rPr>
        <vertAlign val="subscript"/>
        <sz val="10"/>
        <rFont val="ＭＳ Ｐゴシック"/>
        <family val="3"/>
      </rPr>
      <t>j</t>
    </r>
    <r>
      <rPr>
        <sz val="10"/>
        <rFont val="ＭＳ Ｐゴシック"/>
        <family val="3"/>
      </rPr>
      <t>×</t>
    </r>
    <r>
      <rPr>
        <i/>
        <sz val="10"/>
        <rFont val="ＭＳ Ｐゴシック"/>
        <family val="3"/>
      </rPr>
      <t>r</t>
    </r>
    <r>
      <rPr>
        <vertAlign val="subscript"/>
        <sz val="10"/>
        <rFont val="ＭＳ Ｐゴシック"/>
        <family val="3"/>
      </rPr>
      <t>p,j,memb</t>
    </r>
  </si>
  <si>
    <r>
      <t>Z</t>
    </r>
    <r>
      <rPr>
        <vertAlign val="subscript"/>
        <sz val="10"/>
        <rFont val="ＭＳ Ｐゴシック"/>
        <family val="3"/>
      </rPr>
      <t>4</t>
    </r>
    <r>
      <rPr>
        <sz val="10"/>
        <rFont val="ＭＳ Ｐゴシック"/>
        <family val="3"/>
      </rPr>
      <t>=-(A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-C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)/A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 xml:space="preserve"> </t>
    </r>
  </si>
  <si>
    <r>
      <t>γ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=(Z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-1)(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)+Z</t>
    </r>
    <r>
      <rPr>
        <vertAlign val="subscript"/>
        <sz val="10"/>
        <rFont val="ＭＳ Ｐゴシック"/>
        <family val="3"/>
      </rPr>
      <t>4</t>
    </r>
  </si>
  <si>
    <r>
      <t>C"</t>
    </r>
    <r>
      <rPr>
        <i/>
        <vertAlign val="subscript"/>
        <sz val="10"/>
        <rFont val="ＭＳ Ｐゴシック"/>
        <family val="3"/>
      </rPr>
      <t>in</t>
    </r>
  </si>
  <si>
    <t>electric resistance</t>
  </si>
  <si>
    <t>membrane potential</t>
  </si>
  <si>
    <t>membane potential</t>
  </si>
  <si>
    <t>membrane  potential</t>
  </si>
  <si>
    <r>
      <t>A/cm</t>
    </r>
    <r>
      <rPr>
        <vertAlign val="superscript"/>
        <sz val="10"/>
        <color indexed="10"/>
        <rFont val="ＭＳ Ｐゴシック"/>
        <family val="3"/>
      </rPr>
      <t>2</t>
    </r>
  </si>
  <si>
    <r>
      <t>V</t>
    </r>
    <r>
      <rPr>
        <i/>
        <vertAlign val="subscript"/>
        <sz val="10"/>
        <color indexed="10"/>
        <rFont val="ＭＳ Ｐゴシック"/>
        <family val="3"/>
      </rPr>
      <t>cell</t>
    </r>
  </si>
  <si>
    <r>
      <t>V</t>
    </r>
    <r>
      <rPr>
        <i/>
        <vertAlign val="subscript"/>
        <sz val="10"/>
        <color indexed="10"/>
        <rFont val="ＭＳ Ｐゴシック"/>
        <family val="3"/>
      </rPr>
      <t>cell</t>
    </r>
    <r>
      <rPr>
        <i/>
        <vertAlign val="superscript"/>
        <sz val="10"/>
        <color indexed="10"/>
        <rFont val="ＭＳ Ｐゴシック"/>
        <family val="3"/>
      </rPr>
      <t>*</t>
    </r>
  </si>
  <si>
    <r>
      <t>I/S</t>
    </r>
    <r>
      <rPr>
        <i/>
        <vertAlign val="superscript"/>
        <sz val="10"/>
        <color indexed="10"/>
        <rFont val="ＭＳ Ｐゴシック"/>
        <family val="3"/>
      </rPr>
      <t>*</t>
    </r>
  </si>
  <si>
    <r>
      <t>V</t>
    </r>
    <r>
      <rPr>
        <b/>
        <i/>
        <vertAlign val="subscript"/>
        <sz val="10"/>
        <color indexed="12"/>
        <rFont val="ＭＳ Ｐゴシック"/>
        <family val="3"/>
      </rPr>
      <t>cell</t>
    </r>
  </si>
  <si>
    <r>
      <t>C"</t>
    </r>
    <r>
      <rPr>
        <b/>
        <i/>
        <vertAlign val="subscript"/>
        <sz val="10"/>
        <color indexed="12"/>
        <rFont val="ＭＳ Ｐゴシック"/>
        <family val="3"/>
      </rPr>
      <t>in</t>
    </r>
  </si>
  <si>
    <t>V/pair</t>
  </si>
  <si>
    <t>Current density Control key 3</t>
  </si>
  <si>
    <r>
      <t>V</t>
    </r>
    <r>
      <rPr>
        <i/>
        <vertAlign val="subscript"/>
        <sz val="12"/>
        <color indexed="8"/>
        <rFont val="ＭＳ Ｐゴシック"/>
        <family val="3"/>
      </rPr>
      <t>cell</t>
    </r>
  </si>
  <si>
    <r>
      <t>p</t>
    </r>
    <r>
      <rPr>
        <i/>
        <vertAlign val="superscript"/>
        <sz val="10"/>
        <color indexed="10"/>
        <rFont val="ＭＳ Ｐゴシック"/>
        <family val="3"/>
      </rPr>
      <t>*</t>
    </r>
  </si>
  <si>
    <r>
      <t xml:space="preserve">Adjust </t>
    </r>
    <r>
      <rPr>
        <i/>
        <sz val="10"/>
        <color indexed="10"/>
        <rFont val="ＭＳ Ｐゴシック"/>
        <family val="3"/>
      </rPr>
      <t>p</t>
    </r>
    <r>
      <rPr>
        <i/>
        <vertAlign val="superscript"/>
        <sz val="10"/>
        <color indexed="10"/>
        <rFont val="ＭＳ Ｐゴシック"/>
        <family val="3"/>
      </rPr>
      <t>*</t>
    </r>
    <r>
      <rPr>
        <i/>
        <sz val="10"/>
        <color indexed="10"/>
        <rFont val="ＭＳ Ｐゴシック"/>
        <family val="3"/>
      </rPr>
      <t xml:space="preserve"> </t>
    </r>
    <r>
      <rPr>
        <sz val="10"/>
        <color indexed="10"/>
        <rFont val="ＭＳ Ｐゴシック"/>
        <family val="3"/>
      </rPr>
      <t>to realize A = 0  Decision point 2</t>
    </r>
  </si>
  <si>
    <t>Sot and duct specifications in a desalting cell</t>
  </si>
  <si>
    <t>Slot and duct specifications in a concentrating cell</t>
  </si>
  <si>
    <t>Linear velocity in an inlet slot</t>
  </si>
  <si>
    <t>Linear velocity in an outlet slot</t>
  </si>
  <si>
    <r>
      <t>d'</t>
    </r>
    <r>
      <rPr>
        <i/>
        <vertAlign val="subscript"/>
        <sz val="10"/>
        <rFont val="ＭＳ Ｐゴシック"/>
        <family val="3"/>
      </rPr>
      <t>H,slot</t>
    </r>
  </si>
  <si>
    <r>
      <t>u'</t>
    </r>
    <r>
      <rPr>
        <i/>
        <vertAlign val="subscript"/>
        <sz val="10"/>
        <rFont val="ＭＳ Ｐゴシック"/>
        <family val="3"/>
      </rPr>
      <t>slot,in</t>
    </r>
  </si>
  <si>
    <r>
      <t>u'</t>
    </r>
    <r>
      <rPr>
        <i/>
        <vertAlign val="subscript"/>
        <sz val="10"/>
        <rFont val="ＭＳ Ｐゴシック"/>
        <family val="3"/>
      </rPr>
      <t>slot,out</t>
    </r>
  </si>
  <si>
    <r>
      <t>d"</t>
    </r>
    <r>
      <rPr>
        <i/>
        <vertAlign val="subscript"/>
        <sz val="10"/>
        <rFont val="ＭＳ Ｐゴシック"/>
        <family val="3"/>
      </rPr>
      <t>H,slot</t>
    </r>
  </si>
  <si>
    <r>
      <t>u"</t>
    </r>
    <r>
      <rPr>
        <i/>
        <vertAlign val="subscript"/>
        <sz val="10"/>
        <rFont val="ＭＳ Ｐゴシック"/>
        <family val="3"/>
      </rPr>
      <t>slot,in</t>
    </r>
  </si>
  <si>
    <r>
      <t>u"</t>
    </r>
    <r>
      <rPr>
        <i/>
        <vertAlign val="subscript"/>
        <sz val="10"/>
        <rFont val="ＭＳ Ｐゴシック"/>
        <family val="3"/>
      </rPr>
      <t>slot,out</t>
    </r>
  </si>
  <si>
    <t xml:space="preserve">   Diluate concentration, Concentrate concentration,  Ion flux, Volume flux, Current efficiency, Linear velocity in desalting cells, Linear velocity in concentrating cells, Desalting ratio. </t>
  </si>
  <si>
    <t>pairs</t>
  </si>
  <si>
    <r>
      <t xml:space="preserve">(1) Pressure difference </t>
    </r>
    <r>
      <rPr>
        <sz val="10"/>
        <rFont val="ＭＳ Ｐゴシック"/>
        <family val="3"/>
      </rPr>
      <t>in desalting cells</t>
    </r>
  </si>
  <si>
    <r>
      <t xml:space="preserve">(4) Pressure difference </t>
    </r>
    <r>
      <rPr>
        <sz val="10"/>
        <rFont val="ＭＳ Ｐゴシック"/>
        <family val="3"/>
      </rPr>
      <t>in concentrating cells</t>
    </r>
  </si>
  <si>
    <r>
      <t>C'</t>
    </r>
    <r>
      <rPr>
        <vertAlign val="subscript"/>
        <sz val="10"/>
        <color indexed="10"/>
        <rFont val="ＭＳ Ｐゴシック"/>
        <family val="3"/>
      </rPr>
      <t>out</t>
    </r>
    <r>
      <rPr>
        <vertAlign val="superscript"/>
        <sz val="10"/>
        <color indexed="10"/>
        <rFont val="ＭＳ Ｐゴシック"/>
        <family val="3"/>
      </rPr>
      <t>#</t>
    </r>
  </si>
  <si>
    <r>
      <t>ζ</t>
    </r>
    <r>
      <rPr>
        <vertAlign val="subscript"/>
        <sz val="10"/>
        <color indexed="10"/>
        <rFont val="ＭＳ Ｐゴシック"/>
        <family val="3"/>
      </rPr>
      <t>inout</t>
    </r>
    <r>
      <rPr>
        <sz val="10"/>
        <color indexed="10"/>
        <rFont val="ＭＳ Ｐゴシック"/>
        <family val="3"/>
      </rPr>
      <t>-</t>
    </r>
    <r>
      <rPr>
        <i/>
        <sz val="10"/>
        <color indexed="10"/>
        <rFont val="ＭＳ Ｐゴシック"/>
        <family val="3"/>
      </rPr>
      <t>ζ</t>
    </r>
    <r>
      <rPr>
        <vertAlign val="subscript"/>
        <sz val="10"/>
        <color indexed="10"/>
        <rFont val="ＭＳ Ｐゴシック"/>
        <family val="3"/>
      </rPr>
      <t xml:space="preserve">inp </t>
    </r>
    <r>
      <rPr>
        <sz val="10"/>
        <color indexed="10"/>
        <rFont val="ＭＳ Ｐゴシック"/>
        <family val="3"/>
      </rPr>
      <t>=</t>
    </r>
  </si>
  <si>
    <t xml:space="preserve">Companion site 2  </t>
  </si>
  <si>
    <t xml:space="preserve">Number of cell pairs  Input </t>
  </si>
  <si>
    <t>Flow-pass thickness  Input</t>
  </si>
  <si>
    <t xml:space="preserve">Flow-pass width  Input </t>
  </si>
  <si>
    <t xml:space="preserve">Flow-pass length  Input </t>
  </si>
  <si>
    <t>Distance between spacer rods  Input</t>
  </si>
  <si>
    <t>Crossing angle of spacer rods  Input</t>
  </si>
  <si>
    <t xml:space="preserve">Spacer rod volume ratio  </t>
  </si>
  <si>
    <t xml:space="preserve">Temperature  Input </t>
  </si>
  <si>
    <t>Minimum concentration  Control key</t>
  </si>
  <si>
    <t>ρ</t>
  </si>
  <si>
    <r>
      <t>cm</t>
    </r>
    <r>
      <rPr>
        <vertAlign val="superscript"/>
        <sz val="10"/>
        <color indexed="12"/>
        <rFont val="ＭＳ Ｐゴシック"/>
        <family val="3"/>
      </rPr>
      <t>4</t>
    </r>
    <r>
      <rPr>
        <sz val="10"/>
        <color indexed="12"/>
        <rFont val="ＭＳ Ｐゴシック"/>
        <family val="3"/>
      </rPr>
      <t>/eq・s</t>
    </r>
  </si>
  <si>
    <t>λ</t>
  </si>
  <si>
    <t>eq/A・s</t>
  </si>
  <si>
    <t>μ</t>
  </si>
  <si>
    <t>φ</t>
  </si>
  <si>
    <r>
      <t>cm</t>
    </r>
    <r>
      <rPr>
        <vertAlign val="superscript"/>
        <sz val="10"/>
        <color indexed="12"/>
        <rFont val="ＭＳ Ｐゴシック"/>
        <family val="3"/>
      </rPr>
      <t>3</t>
    </r>
    <r>
      <rPr>
        <sz val="10"/>
        <color indexed="12"/>
        <rFont val="ＭＳ Ｐゴシック"/>
        <family val="3"/>
      </rPr>
      <t>/A・s</t>
    </r>
  </si>
  <si>
    <r>
      <t>t</t>
    </r>
    <r>
      <rPr>
        <vertAlign val="subscript"/>
        <sz val="10"/>
        <color indexed="12"/>
        <rFont val="ＭＳ Ｐゴシック"/>
        <family val="3"/>
      </rPr>
      <t>K</t>
    </r>
    <r>
      <rPr>
        <sz val="10"/>
        <color indexed="12"/>
        <rFont val="ＭＳ Ｐゴシック"/>
        <family val="3"/>
      </rPr>
      <t>+</t>
    </r>
    <r>
      <rPr>
        <i/>
        <sz val="10"/>
        <color indexed="12"/>
        <rFont val="ＭＳ Ｐゴシック"/>
        <family val="3"/>
      </rPr>
      <t>t</t>
    </r>
    <r>
      <rPr>
        <vertAlign val="subscript"/>
        <sz val="10"/>
        <color indexed="12"/>
        <rFont val="ＭＳ Ｐゴシック"/>
        <family val="3"/>
      </rPr>
      <t>A</t>
    </r>
  </si>
  <si>
    <t>Alternating current electric resistance of a membrane pair</t>
  </si>
  <si>
    <r>
      <t>r</t>
    </r>
    <r>
      <rPr>
        <vertAlign val="subscript"/>
        <sz val="10"/>
        <color indexed="12"/>
        <rFont val="ＭＳ Ｐゴシック"/>
        <family val="3"/>
      </rPr>
      <t>alter</t>
    </r>
  </si>
  <si>
    <r>
      <t>Ωcm</t>
    </r>
    <r>
      <rPr>
        <vertAlign val="superscript"/>
        <sz val="10"/>
        <color indexed="12"/>
        <rFont val="ＭＳ Ｐゴシック"/>
        <family val="3"/>
      </rPr>
      <t>2</t>
    </r>
  </si>
  <si>
    <r>
      <t>C'</t>
    </r>
    <r>
      <rPr>
        <vertAlign val="subscript"/>
        <sz val="10"/>
        <color indexed="12"/>
        <rFont val="ＭＳ Ｐゴシック"/>
        <family val="3"/>
      </rPr>
      <t>out</t>
    </r>
  </si>
  <si>
    <r>
      <t>eq/dm</t>
    </r>
    <r>
      <rPr>
        <vertAlign val="superscript"/>
        <sz val="10"/>
        <color indexed="12"/>
        <rFont val="ＭＳ Ｐゴシック"/>
        <family val="3"/>
      </rPr>
      <t>3</t>
    </r>
  </si>
  <si>
    <r>
      <t>g/dm</t>
    </r>
    <r>
      <rPr>
        <vertAlign val="superscript"/>
        <sz val="10"/>
        <color indexed="12"/>
        <rFont val="ＭＳ Ｐゴシック"/>
        <family val="3"/>
      </rPr>
      <t>3</t>
    </r>
  </si>
  <si>
    <r>
      <t>J</t>
    </r>
    <r>
      <rPr>
        <vertAlign val="subscript"/>
        <sz val="10"/>
        <color indexed="12"/>
        <rFont val="ＭＳ Ｐゴシック"/>
        <family val="3"/>
      </rPr>
      <t>S</t>
    </r>
  </si>
  <si>
    <r>
      <t>eq/cm</t>
    </r>
    <r>
      <rPr>
        <vertAlign val="super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・s</t>
    </r>
  </si>
  <si>
    <t>Ion flux</t>
  </si>
  <si>
    <r>
      <t>J</t>
    </r>
    <r>
      <rPr>
        <i/>
        <vertAlign val="subscript"/>
        <sz val="10"/>
        <color indexed="12"/>
        <rFont val="ＭＳ Ｐゴシック"/>
        <family val="3"/>
      </rPr>
      <t>V</t>
    </r>
  </si>
  <si>
    <r>
      <t>cm</t>
    </r>
    <r>
      <rPr>
        <vertAlign val="superscript"/>
        <sz val="10"/>
        <color indexed="12"/>
        <rFont val="ＭＳ Ｐゴシック"/>
        <family val="3"/>
      </rPr>
      <t>3</t>
    </r>
    <r>
      <rPr>
        <sz val="10"/>
        <color indexed="12"/>
        <rFont val="ＭＳ Ｐゴシック"/>
        <family val="3"/>
      </rPr>
      <t>/cm</t>
    </r>
    <r>
      <rPr>
        <vertAlign val="super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・s</t>
    </r>
  </si>
  <si>
    <t>Current efficiency</t>
  </si>
  <si>
    <r>
      <t>Q'</t>
    </r>
    <r>
      <rPr>
        <vertAlign val="subscript"/>
        <sz val="10"/>
        <color indexed="12"/>
        <rFont val="ＭＳ Ｐゴシック"/>
        <family val="3"/>
      </rPr>
      <t>out</t>
    </r>
  </si>
  <si>
    <r>
      <t>cm</t>
    </r>
    <r>
      <rPr>
        <vertAlign val="superscript"/>
        <sz val="10"/>
        <color indexed="12"/>
        <rFont val="ＭＳ Ｐゴシック"/>
        <family val="3"/>
      </rPr>
      <t>3</t>
    </r>
    <r>
      <rPr>
        <sz val="10"/>
        <color indexed="12"/>
        <rFont val="ＭＳ Ｐゴシック"/>
        <family val="3"/>
      </rPr>
      <t>/s</t>
    </r>
  </si>
  <si>
    <t>r"</t>
  </si>
  <si>
    <t>Electric resistance</t>
  </si>
  <si>
    <r>
      <t>r'</t>
    </r>
    <r>
      <rPr>
        <vertAlign val="subscript"/>
        <sz val="10"/>
        <color indexed="12"/>
        <rFont val="ＭＳ Ｐゴシック"/>
        <family val="3"/>
      </rPr>
      <t>in</t>
    </r>
  </si>
  <si>
    <r>
      <t xml:space="preserve">Solution electric resistance at </t>
    </r>
    <r>
      <rPr>
        <i/>
        <sz val="10"/>
        <color indexed="12"/>
        <rFont val="ＭＳ Ｐゴシック"/>
        <family val="3"/>
      </rPr>
      <t>x</t>
    </r>
    <r>
      <rPr>
        <sz val="10"/>
        <color indexed="12"/>
        <rFont val="ＭＳ Ｐゴシック"/>
        <family val="3"/>
      </rPr>
      <t xml:space="preserve"> = 0</t>
    </r>
  </si>
  <si>
    <r>
      <t>r</t>
    </r>
    <r>
      <rPr>
        <vertAlign val="subscript"/>
        <sz val="10"/>
        <color indexed="12"/>
        <rFont val="ＭＳ Ｐゴシック"/>
        <family val="3"/>
      </rPr>
      <t>in,memb</t>
    </r>
  </si>
  <si>
    <r>
      <t xml:space="preserve">Direct current electric resistance of a membrane pair at </t>
    </r>
    <r>
      <rPr>
        <i/>
        <sz val="10"/>
        <color indexed="12"/>
        <rFont val="ＭＳ Ｐゴシック"/>
        <family val="3"/>
      </rPr>
      <t xml:space="preserve">x </t>
    </r>
    <r>
      <rPr>
        <sz val="10"/>
        <color indexed="12"/>
        <rFont val="ＭＳ Ｐゴシック"/>
        <family val="3"/>
      </rPr>
      <t xml:space="preserve">= 0 </t>
    </r>
  </si>
  <si>
    <r>
      <t xml:space="preserve">Solution electric resistance at </t>
    </r>
    <r>
      <rPr>
        <i/>
        <sz val="10"/>
        <color indexed="12"/>
        <rFont val="ＭＳ Ｐゴシック"/>
        <family val="3"/>
      </rPr>
      <t>x</t>
    </r>
    <r>
      <rPr>
        <sz val="10"/>
        <color indexed="12"/>
        <rFont val="ＭＳ Ｐゴシック"/>
        <family val="3"/>
      </rPr>
      <t xml:space="preserve"> = </t>
    </r>
    <r>
      <rPr>
        <i/>
        <sz val="10"/>
        <color indexed="12"/>
        <rFont val="ＭＳ Ｐゴシック"/>
        <family val="3"/>
      </rPr>
      <t>l</t>
    </r>
    <r>
      <rPr>
        <sz val="10"/>
        <color indexed="12"/>
        <rFont val="ＭＳ Ｐゴシック"/>
        <family val="3"/>
      </rPr>
      <t xml:space="preserve"> in a desalting cell</t>
    </r>
  </si>
  <si>
    <r>
      <t>Membrane pair direct current electric resistance at</t>
    </r>
    <r>
      <rPr>
        <i/>
        <sz val="10"/>
        <color indexed="12"/>
        <rFont val="ＭＳ Ｐゴシック"/>
        <family val="3"/>
      </rPr>
      <t xml:space="preserve"> x</t>
    </r>
    <r>
      <rPr>
        <sz val="10"/>
        <color indexed="12"/>
        <rFont val="ＭＳ Ｐゴシック"/>
        <family val="3"/>
      </rPr>
      <t xml:space="preserve"> = </t>
    </r>
    <r>
      <rPr>
        <i/>
        <sz val="10"/>
        <color indexed="12"/>
        <rFont val="ＭＳ Ｐゴシック"/>
        <family val="3"/>
      </rPr>
      <t xml:space="preserve">l </t>
    </r>
  </si>
  <si>
    <t>Current density</t>
  </si>
  <si>
    <t>Ohmic voltage</t>
  </si>
  <si>
    <t>Membr.potential</t>
  </si>
  <si>
    <r>
      <t>i</t>
    </r>
    <r>
      <rPr>
        <vertAlign val="subscript"/>
        <sz val="10"/>
        <color indexed="12"/>
        <rFont val="ＭＳ Ｐゴシック"/>
        <family val="3"/>
      </rPr>
      <t>out</t>
    </r>
  </si>
  <si>
    <r>
      <t>B</t>
    </r>
    <r>
      <rPr>
        <vertAlign val="subscript"/>
        <sz val="10"/>
        <color indexed="12"/>
        <rFont val="ＭＳ Ｐゴシック"/>
        <family val="3"/>
      </rPr>
      <t>1</t>
    </r>
    <r>
      <rPr>
        <i/>
        <sz val="10"/>
        <color indexed="12"/>
        <rFont val="ＭＳ Ｐゴシック"/>
        <family val="3"/>
      </rPr>
      <t>i</t>
    </r>
    <r>
      <rPr>
        <vertAlign val="subscript"/>
        <sz val="10"/>
        <color indexed="12"/>
        <rFont val="ＭＳ Ｐゴシック"/>
        <family val="3"/>
      </rPr>
      <t>out</t>
    </r>
    <r>
      <rPr>
        <sz val="10"/>
        <color indexed="12"/>
        <rFont val="ＭＳ Ｐゴシック"/>
        <family val="3"/>
      </rPr>
      <t>/</t>
    </r>
    <r>
      <rPr>
        <i/>
        <sz val="10"/>
        <color indexed="12"/>
        <rFont val="ＭＳ Ｐゴシック"/>
        <family val="3"/>
      </rPr>
      <t>N</t>
    </r>
  </si>
  <si>
    <r>
      <t>B</t>
    </r>
    <r>
      <rPr>
        <vertAlign val="sub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/</t>
    </r>
    <r>
      <rPr>
        <i/>
        <sz val="10"/>
        <color indexed="12"/>
        <rFont val="ＭＳ Ｐゴシック"/>
        <family val="3"/>
      </rPr>
      <t>N</t>
    </r>
  </si>
  <si>
    <r>
      <t>A/cm</t>
    </r>
    <r>
      <rPr>
        <vertAlign val="superscript"/>
        <sz val="10"/>
        <color indexed="12"/>
        <rFont val="ＭＳ Ｐゴシック"/>
        <family val="3"/>
      </rPr>
      <t>2</t>
    </r>
  </si>
  <si>
    <r>
      <t>i</t>
    </r>
    <r>
      <rPr>
        <vertAlign val="subscript"/>
        <sz val="10"/>
        <color indexed="12"/>
        <rFont val="ＭＳ Ｐゴシック"/>
        <family val="3"/>
      </rPr>
      <t>in</t>
    </r>
  </si>
  <si>
    <r>
      <t>A</t>
    </r>
    <r>
      <rPr>
        <vertAlign val="subscript"/>
        <sz val="10"/>
        <color indexed="12"/>
        <rFont val="ＭＳ Ｐゴシック"/>
        <family val="3"/>
      </rPr>
      <t>1</t>
    </r>
    <r>
      <rPr>
        <i/>
        <sz val="10"/>
        <color indexed="12"/>
        <rFont val="ＭＳ Ｐゴシック"/>
        <family val="3"/>
      </rPr>
      <t>i</t>
    </r>
    <r>
      <rPr>
        <vertAlign val="subscript"/>
        <sz val="10"/>
        <color indexed="12"/>
        <rFont val="ＭＳ Ｐゴシック"/>
        <family val="3"/>
      </rPr>
      <t>in</t>
    </r>
    <r>
      <rPr>
        <sz val="10"/>
        <color indexed="12"/>
        <rFont val="ＭＳ Ｐゴシック"/>
        <family val="3"/>
      </rPr>
      <t>/</t>
    </r>
    <r>
      <rPr>
        <i/>
        <sz val="10"/>
        <color indexed="12"/>
        <rFont val="ＭＳ Ｐゴシック"/>
        <family val="3"/>
      </rPr>
      <t>N</t>
    </r>
  </si>
  <si>
    <r>
      <t>A</t>
    </r>
    <r>
      <rPr>
        <vertAlign val="sub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/</t>
    </r>
    <r>
      <rPr>
        <i/>
        <sz val="10"/>
        <color indexed="12"/>
        <rFont val="ＭＳ Ｐゴシック"/>
        <family val="3"/>
      </rPr>
      <t>N</t>
    </r>
  </si>
  <si>
    <t>Cell voltage</t>
  </si>
  <si>
    <r>
      <t>V</t>
    </r>
    <r>
      <rPr>
        <vertAlign val="subscript"/>
        <sz val="10"/>
        <color indexed="12"/>
        <rFont val="ＭＳ Ｐゴシック"/>
        <family val="3"/>
      </rPr>
      <t>out</t>
    </r>
    <r>
      <rPr>
        <sz val="10"/>
        <color indexed="12"/>
        <rFont val="ＭＳ Ｐゴシック"/>
        <family val="3"/>
      </rPr>
      <t>/</t>
    </r>
    <r>
      <rPr>
        <i/>
        <sz val="10"/>
        <color indexed="12"/>
        <rFont val="ＭＳ Ｐゴシック"/>
        <family val="3"/>
      </rPr>
      <t>N</t>
    </r>
  </si>
  <si>
    <r>
      <t>V</t>
    </r>
    <r>
      <rPr>
        <vertAlign val="subscript"/>
        <sz val="10"/>
        <color indexed="12"/>
        <rFont val="ＭＳ Ｐゴシック"/>
        <family val="3"/>
      </rPr>
      <t>in</t>
    </r>
    <r>
      <rPr>
        <sz val="10"/>
        <color indexed="12"/>
        <rFont val="ＭＳ Ｐゴシック"/>
        <family val="3"/>
      </rPr>
      <t>/</t>
    </r>
    <r>
      <rPr>
        <i/>
        <sz val="10"/>
        <color indexed="12"/>
        <rFont val="ＭＳ Ｐゴシック"/>
        <family val="3"/>
      </rPr>
      <t>N</t>
    </r>
  </si>
  <si>
    <r>
      <t xml:space="preserve">Energy consumption </t>
    </r>
    <r>
      <rPr>
        <i/>
        <sz val="10"/>
        <color indexed="12"/>
        <rFont val="ＭＳ Ｐゴシック"/>
        <family val="3"/>
      </rPr>
      <t>E</t>
    </r>
  </si>
  <si>
    <r>
      <t>kWh/m</t>
    </r>
    <r>
      <rPr>
        <vertAlign val="superscript"/>
        <sz val="10"/>
        <color indexed="12"/>
        <rFont val="ＭＳ Ｐゴシック"/>
        <family val="3"/>
      </rPr>
      <t>3</t>
    </r>
  </si>
  <si>
    <r>
      <t xml:space="preserve">Solution electric resistance at </t>
    </r>
    <r>
      <rPr>
        <i/>
        <sz val="10"/>
        <color indexed="12"/>
        <rFont val="ＭＳ Ｐゴシック"/>
        <family val="3"/>
      </rPr>
      <t>x</t>
    </r>
    <r>
      <rPr>
        <sz val="10"/>
        <color indexed="12"/>
        <rFont val="ＭＳ Ｐゴシック"/>
        <family val="3"/>
      </rPr>
      <t xml:space="preserve"> = </t>
    </r>
    <r>
      <rPr>
        <i/>
        <sz val="10"/>
        <color indexed="12"/>
        <rFont val="ＭＳ Ｐゴシック"/>
        <family val="3"/>
      </rPr>
      <t>pl</t>
    </r>
    <r>
      <rPr>
        <sz val="10"/>
        <color indexed="12"/>
        <rFont val="ＭＳ Ｐゴシック"/>
        <family val="3"/>
      </rPr>
      <t xml:space="preserve"> in a desalting cell</t>
    </r>
  </si>
  <si>
    <r>
      <t xml:space="preserve">Membrane pair direct current electric resistance at </t>
    </r>
    <r>
      <rPr>
        <i/>
        <sz val="10"/>
        <color indexed="12"/>
        <rFont val="ＭＳ Ｐゴシック"/>
        <family val="3"/>
      </rPr>
      <t>x</t>
    </r>
    <r>
      <rPr>
        <sz val="10"/>
        <color indexed="12"/>
        <rFont val="ＭＳ Ｐゴシック"/>
        <family val="3"/>
      </rPr>
      <t xml:space="preserve"> = </t>
    </r>
    <r>
      <rPr>
        <i/>
        <sz val="10"/>
        <color indexed="12"/>
        <rFont val="ＭＳ Ｐゴシック"/>
        <family val="3"/>
      </rPr>
      <t>pl</t>
    </r>
  </si>
  <si>
    <r>
      <t>a</t>
    </r>
    <r>
      <rPr>
        <vertAlign val="subscript"/>
        <sz val="10"/>
        <color indexed="12"/>
        <rFont val="ＭＳ Ｐゴシック"/>
        <family val="3"/>
      </rPr>
      <t>1</t>
    </r>
    <r>
      <rPr>
        <sz val="10"/>
        <color indexed="12"/>
        <rFont val="ＭＳ Ｐゴシック"/>
        <family val="3"/>
      </rPr>
      <t>=(Z</t>
    </r>
    <r>
      <rPr>
        <vertAlign val="subscript"/>
        <sz val="10"/>
        <color indexed="12"/>
        <rFont val="ＭＳ Ｐゴシック"/>
        <family val="3"/>
      </rPr>
      <t>1</t>
    </r>
    <r>
      <rPr>
        <i/>
        <sz val="10"/>
        <color indexed="12"/>
        <rFont val="ＭＳ Ｐゴシック"/>
        <family val="3"/>
      </rPr>
      <t>ζ</t>
    </r>
    <r>
      <rPr>
        <i/>
        <vertAlign val="subscript"/>
        <sz val="10"/>
        <color indexed="12"/>
        <rFont val="ＭＳ Ｐゴシック"/>
        <family val="3"/>
      </rPr>
      <t>out</t>
    </r>
    <r>
      <rPr>
        <sz val="10"/>
        <color indexed="12"/>
        <rFont val="ＭＳ Ｐゴシック"/>
        <family val="3"/>
      </rPr>
      <t>)(</t>
    </r>
    <r>
      <rPr>
        <i/>
        <sz val="10"/>
        <color indexed="12"/>
        <rFont val="ＭＳ Ｐゴシック"/>
        <family val="3"/>
      </rPr>
      <t>I/S</t>
    </r>
    <r>
      <rPr>
        <sz val="10"/>
        <color indexed="12"/>
        <rFont val="ＭＳ Ｐゴシック"/>
        <family val="3"/>
      </rPr>
      <t>)</t>
    </r>
  </si>
  <si>
    <r>
      <t>a</t>
    </r>
    <r>
      <rPr>
        <vertAlign val="sub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=2[{3</t>
    </r>
  </si>
  <si>
    <r>
      <t>a</t>
    </r>
    <r>
      <rPr>
        <vertAlign val="subscript"/>
        <sz val="10"/>
        <color indexed="12"/>
        <rFont val="ＭＳ Ｐゴシック"/>
        <family val="3"/>
      </rPr>
      <t>3</t>
    </r>
    <r>
      <rPr>
        <sz val="10"/>
        <color indexed="12"/>
        <rFont val="ＭＳ Ｐゴシック"/>
        <family val="3"/>
      </rPr>
      <t>=-3[{2</t>
    </r>
  </si>
  <si>
    <r>
      <t>(a</t>
    </r>
    <r>
      <rPr>
        <vertAlign val="subscript"/>
        <sz val="10"/>
        <color indexed="12"/>
        <rFont val="ＭＳ Ｐゴシック"/>
        <family val="3"/>
      </rPr>
      <t>1</t>
    </r>
    <r>
      <rPr>
        <sz val="10"/>
        <color indexed="12"/>
        <rFont val="ＭＳ Ｐゴシック"/>
        <family val="3"/>
      </rPr>
      <t>+a</t>
    </r>
    <r>
      <rPr>
        <vertAlign val="sub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+a</t>
    </r>
    <r>
      <rPr>
        <vertAlign val="subscript"/>
        <sz val="10"/>
        <color indexed="12"/>
        <rFont val="ＭＳ Ｐゴシック"/>
        <family val="3"/>
      </rPr>
      <t>3</t>
    </r>
    <r>
      <rPr>
        <sz val="10"/>
        <color indexed="12"/>
        <rFont val="ＭＳ Ｐゴシック"/>
        <family val="3"/>
      </rPr>
      <t>)/(</t>
    </r>
    <r>
      <rPr>
        <i/>
        <sz val="10"/>
        <color indexed="12"/>
        <rFont val="ＭＳ Ｐゴシック"/>
        <family val="3"/>
      </rPr>
      <t>I/S</t>
    </r>
    <r>
      <rPr>
        <sz val="10"/>
        <color indexed="12"/>
        <rFont val="ＭＳ Ｐゴシック"/>
        <family val="3"/>
      </rPr>
      <t>)</t>
    </r>
  </si>
  <si>
    <r>
      <t>a</t>
    </r>
    <r>
      <rPr>
        <vertAlign val="subscript"/>
        <sz val="10"/>
        <color indexed="12"/>
        <rFont val="ＭＳ Ｐゴシック"/>
        <family val="3"/>
      </rPr>
      <t>1</t>
    </r>
    <r>
      <rPr>
        <sz val="10"/>
        <color indexed="12"/>
        <rFont val="ＭＳ Ｐゴシック"/>
        <family val="3"/>
      </rPr>
      <t>/(I/S)</t>
    </r>
  </si>
  <si>
    <r>
      <t>+Z</t>
    </r>
    <r>
      <rPr>
        <vertAlign val="subscript"/>
        <sz val="10"/>
        <color indexed="12"/>
        <rFont val="ＭＳ Ｐゴシック"/>
        <family val="3"/>
      </rPr>
      <t>2</t>
    </r>
  </si>
  <si>
    <r>
      <t>-(2Z</t>
    </r>
    <r>
      <rPr>
        <vertAlign val="subscript"/>
        <sz val="10"/>
        <color indexed="12"/>
        <rFont val="ＭＳ Ｐゴシック"/>
        <family val="3"/>
      </rPr>
      <t>1</t>
    </r>
    <r>
      <rPr>
        <sz val="10"/>
        <color indexed="12"/>
        <rFont val="ＭＳ Ｐゴシック"/>
        <family val="3"/>
      </rPr>
      <t>+1)</t>
    </r>
    <r>
      <rPr>
        <i/>
        <sz val="10"/>
        <color indexed="12"/>
        <rFont val="ＭＳ Ｐゴシック"/>
        <family val="3"/>
      </rPr>
      <t>ζ</t>
    </r>
    <r>
      <rPr>
        <i/>
        <vertAlign val="subscript"/>
        <sz val="10"/>
        <color indexed="12"/>
        <rFont val="ＭＳ Ｐゴシック"/>
        <family val="3"/>
      </rPr>
      <t>out</t>
    </r>
    <r>
      <rPr>
        <sz val="10"/>
        <color indexed="12"/>
        <rFont val="ＭＳ Ｐゴシック"/>
        <family val="3"/>
      </rPr>
      <t>}</t>
    </r>
  </si>
  <si>
    <r>
      <t>-(Z</t>
    </r>
    <r>
      <rPr>
        <vertAlign val="subscript"/>
        <sz val="10"/>
        <color indexed="12"/>
        <rFont val="ＭＳ Ｐゴシック"/>
        <family val="3"/>
      </rPr>
      <t>1</t>
    </r>
    <r>
      <rPr>
        <sz val="10"/>
        <color indexed="12"/>
        <rFont val="ＭＳ Ｐゴシック"/>
        <family val="3"/>
      </rPr>
      <t>+1)</t>
    </r>
    <r>
      <rPr>
        <i/>
        <sz val="10"/>
        <color indexed="12"/>
        <rFont val="ＭＳ Ｐゴシック"/>
        <family val="3"/>
      </rPr>
      <t>ζ</t>
    </r>
    <r>
      <rPr>
        <i/>
        <vertAlign val="subscript"/>
        <sz val="10"/>
        <color indexed="12"/>
        <rFont val="ＭＳ Ｐゴシック"/>
        <family val="3"/>
      </rPr>
      <t>out</t>
    </r>
    <r>
      <rPr>
        <sz val="10"/>
        <color indexed="12"/>
        <rFont val="ＭＳ Ｐゴシック"/>
        <family val="3"/>
      </rPr>
      <t>}</t>
    </r>
  </si>
  <si>
    <r>
      <t>=ζ</t>
    </r>
    <r>
      <rPr>
        <vertAlign val="subscript"/>
        <sz val="10"/>
        <color indexed="12"/>
        <rFont val="ＭＳ Ｐゴシック"/>
        <family val="3"/>
      </rPr>
      <t>out</t>
    </r>
  </si>
  <si>
    <r>
      <t>=ζ</t>
    </r>
    <r>
      <rPr>
        <vertAlign val="subscript"/>
        <sz val="10"/>
        <color indexed="12"/>
        <rFont val="ＭＳ Ｐゴシック"/>
        <family val="3"/>
      </rPr>
      <t>in</t>
    </r>
  </si>
  <si>
    <r>
      <t>(</t>
    </r>
    <r>
      <rPr>
        <i/>
        <sz val="10"/>
        <color indexed="12"/>
        <rFont val="ＭＳ Ｐゴシック"/>
        <family val="3"/>
      </rPr>
      <t>I/S</t>
    </r>
    <r>
      <rPr>
        <sz val="10"/>
        <color indexed="12"/>
        <rFont val="ＭＳ Ｐゴシック"/>
        <family val="3"/>
      </rPr>
      <t>)-2Z</t>
    </r>
    <r>
      <rPr>
        <vertAlign val="sub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]</t>
    </r>
  </si>
  <si>
    <r>
      <t>(</t>
    </r>
    <r>
      <rPr>
        <i/>
        <sz val="10"/>
        <color indexed="12"/>
        <rFont val="ＭＳ Ｐゴシック"/>
        <family val="3"/>
      </rPr>
      <t>I/S</t>
    </r>
    <r>
      <rPr>
        <sz val="10"/>
        <color indexed="12"/>
        <rFont val="ＭＳ Ｐゴシック"/>
        <family val="3"/>
      </rPr>
      <t>)-Z</t>
    </r>
    <r>
      <rPr>
        <vertAlign val="sub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]</t>
    </r>
  </si>
  <si>
    <r>
      <t>ΔP'</t>
    </r>
    <r>
      <rPr>
        <i/>
        <vertAlign val="subscript"/>
        <sz val="10"/>
        <color indexed="12"/>
        <rFont val="ＭＳ Ｐゴシック"/>
        <family val="3"/>
      </rPr>
      <t>cell</t>
    </r>
  </si>
  <si>
    <r>
      <t>dyne/cm</t>
    </r>
    <r>
      <rPr>
        <vertAlign val="superscript"/>
        <sz val="10"/>
        <color indexed="12"/>
        <rFont val="ＭＳ Ｐゴシック"/>
        <family val="3"/>
      </rPr>
      <t>2</t>
    </r>
  </si>
  <si>
    <r>
      <t>kgf/cm</t>
    </r>
    <r>
      <rPr>
        <vertAlign val="superscript"/>
        <sz val="10"/>
        <color indexed="12"/>
        <rFont val="ＭＳ Ｐゴシック"/>
        <family val="3"/>
      </rPr>
      <t>2</t>
    </r>
  </si>
  <si>
    <r>
      <t>ΔP'</t>
    </r>
    <r>
      <rPr>
        <i/>
        <vertAlign val="subscript"/>
        <sz val="10"/>
        <color indexed="12"/>
        <rFont val="ＭＳ Ｐゴシック"/>
        <family val="3"/>
      </rPr>
      <t>slot</t>
    </r>
  </si>
  <si>
    <r>
      <t>ΔP'</t>
    </r>
    <r>
      <rPr>
        <i/>
        <vertAlign val="subscript"/>
        <sz val="10"/>
        <color indexed="12"/>
        <rFont val="ＭＳ Ｐゴシック"/>
        <family val="3"/>
      </rPr>
      <t>total</t>
    </r>
    <r>
      <rPr>
        <sz val="10"/>
        <color indexed="12"/>
        <rFont val="ＭＳ Ｐゴシック"/>
        <family val="3"/>
      </rPr>
      <t xml:space="preserve"> </t>
    </r>
  </si>
  <si>
    <r>
      <t>ΔP"</t>
    </r>
    <r>
      <rPr>
        <i/>
        <vertAlign val="subscript"/>
        <sz val="10"/>
        <color indexed="12"/>
        <rFont val="ＭＳ Ｐゴシック"/>
        <family val="3"/>
      </rPr>
      <t>cell</t>
    </r>
  </si>
  <si>
    <r>
      <t>ΔP"</t>
    </r>
    <r>
      <rPr>
        <i/>
        <vertAlign val="subscript"/>
        <sz val="10"/>
        <color indexed="12"/>
        <rFont val="ＭＳ Ｐゴシック"/>
        <family val="3"/>
      </rPr>
      <t>tota</t>
    </r>
    <r>
      <rPr>
        <vertAlign val="subscript"/>
        <sz val="10"/>
        <color indexed="12"/>
        <rFont val="ＭＳ Ｐゴシック"/>
        <family val="3"/>
      </rPr>
      <t>l</t>
    </r>
  </si>
  <si>
    <r>
      <t>(</t>
    </r>
    <r>
      <rPr>
        <i/>
        <sz val="10"/>
        <color indexed="12"/>
        <rFont val="ＭＳ Ｐゴシック"/>
        <family val="3"/>
      </rPr>
      <t>I/S</t>
    </r>
    <r>
      <rPr>
        <sz val="10"/>
        <color indexed="12"/>
        <rFont val="ＭＳ Ｐゴシック"/>
        <family val="3"/>
      </rPr>
      <t>)</t>
    </r>
    <r>
      <rPr>
        <vertAlign val="subscript"/>
        <sz val="10"/>
        <color indexed="12"/>
        <rFont val="ＭＳ Ｐゴシック"/>
        <family val="3"/>
      </rPr>
      <t>lim</t>
    </r>
  </si>
  <si>
    <r>
      <t>A/dm</t>
    </r>
    <r>
      <rPr>
        <vertAlign val="superscript"/>
        <sz val="10"/>
        <color indexed="12"/>
        <rFont val="ＭＳ Ｐゴシック"/>
        <family val="3"/>
      </rPr>
      <t>2</t>
    </r>
  </si>
  <si>
    <t>Number of slots and ducts at an inlet or an outlet  Input</t>
  </si>
  <si>
    <t>Salt concentration at the inlets of concentrating cells Input</t>
  </si>
  <si>
    <r>
      <t>C'</t>
    </r>
    <r>
      <rPr>
        <sz val="10"/>
        <color indexed="12"/>
        <rFont val="ＭＳ Ｐゴシック"/>
        <family val="3"/>
      </rPr>
      <t>=</t>
    </r>
    <r>
      <rPr>
        <i/>
        <sz val="10"/>
        <color indexed="12"/>
        <rFont val="ＭＳ Ｐゴシック"/>
        <family val="3"/>
      </rPr>
      <t>C'</t>
    </r>
    <r>
      <rPr>
        <vertAlign val="subscript"/>
        <sz val="10"/>
        <color indexed="12"/>
        <rFont val="ＭＳ Ｐゴシック"/>
        <family val="3"/>
      </rPr>
      <t>p</t>
    </r>
    <r>
      <rPr>
        <sz val="10"/>
        <color indexed="12"/>
        <rFont val="ＭＳ Ｐゴシック"/>
        <family val="3"/>
      </rPr>
      <t>=</t>
    </r>
  </si>
  <si>
    <t>σ</t>
  </si>
  <si>
    <t>-</t>
  </si>
  <si>
    <t xml:space="preserve">Standard deviation  Input </t>
  </si>
  <si>
    <r>
      <t>u'</t>
    </r>
    <r>
      <rPr>
        <i/>
        <vertAlign val="subscript"/>
        <sz val="10"/>
        <color indexed="20"/>
        <rFont val="ＭＳ Ｐゴシック"/>
        <family val="3"/>
      </rPr>
      <t>in</t>
    </r>
  </si>
  <si>
    <r>
      <t xml:space="preserve">Linear velocity at </t>
    </r>
    <r>
      <rPr>
        <i/>
        <sz val="10"/>
        <color indexed="20"/>
        <rFont val="ＭＳ Ｐゴシック"/>
        <family val="3"/>
      </rPr>
      <t>x</t>
    </r>
    <r>
      <rPr>
        <sz val="10"/>
        <color indexed="20"/>
        <rFont val="ＭＳ Ｐゴシック"/>
        <family val="3"/>
      </rPr>
      <t xml:space="preserve"> = 0  Input </t>
    </r>
  </si>
  <si>
    <r>
      <t>u"</t>
    </r>
    <r>
      <rPr>
        <i/>
        <vertAlign val="subscript"/>
        <sz val="10"/>
        <color indexed="20"/>
        <rFont val="ＭＳ Ｐゴシック"/>
        <family val="3"/>
      </rPr>
      <t>in</t>
    </r>
  </si>
  <si>
    <t xml:space="preserve">Linear velocity at x = 0  Input </t>
  </si>
  <si>
    <r>
      <t>C'</t>
    </r>
    <r>
      <rPr>
        <i/>
        <vertAlign val="subscript"/>
        <sz val="10"/>
        <color indexed="20"/>
        <rFont val="ＭＳ Ｐゴシック"/>
        <family val="3"/>
      </rPr>
      <t>in</t>
    </r>
  </si>
  <si>
    <r>
      <t>eq/cm</t>
    </r>
    <r>
      <rPr>
        <vertAlign val="superscript"/>
        <sz val="10"/>
        <color indexed="20"/>
        <rFont val="ＭＳ Ｐゴシック"/>
        <family val="3"/>
      </rPr>
      <t>3</t>
    </r>
  </si>
  <si>
    <t>Salt concentration at the inlets of desalting cells  Input</t>
  </si>
  <si>
    <r>
      <t>C"</t>
    </r>
    <r>
      <rPr>
        <i/>
        <vertAlign val="subscript"/>
        <sz val="10"/>
        <color indexed="20"/>
        <rFont val="ＭＳ Ｐゴシック"/>
        <family val="3"/>
      </rPr>
      <t>in</t>
    </r>
  </si>
  <si>
    <r>
      <t>eq/cm</t>
    </r>
    <r>
      <rPr>
        <vertAlign val="superscript"/>
        <sz val="10"/>
        <color indexed="20"/>
        <rFont val="ＭＳ Ｐゴシック"/>
        <family val="3"/>
      </rPr>
      <t>3</t>
    </r>
  </si>
  <si>
    <r>
      <t>a'</t>
    </r>
    <r>
      <rPr>
        <sz val="10"/>
        <color indexed="20"/>
        <rFont val="ＭＳ Ｐゴシック"/>
        <family val="3"/>
      </rPr>
      <t>=</t>
    </r>
    <r>
      <rPr>
        <i/>
        <sz val="10"/>
        <color indexed="20"/>
        <rFont val="ＭＳ Ｐゴシック"/>
        <family val="3"/>
      </rPr>
      <t>a"</t>
    </r>
    <r>
      <rPr>
        <sz val="10"/>
        <color indexed="20"/>
        <rFont val="ＭＳ Ｐゴシック"/>
        <family val="3"/>
      </rPr>
      <t>=</t>
    </r>
    <r>
      <rPr>
        <i/>
        <sz val="10"/>
        <color indexed="20"/>
        <rFont val="ＭＳ Ｐゴシック"/>
        <family val="3"/>
      </rPr>
      <t>a</t>
    </r>
  </si>
  <si>
    <t>=3/π = 60°</t>
  </si>
  <si>
    <r>
      <t>u</t>
    </r>
    <r>
      <rPr>
        <vertAlign val="subscript"/>
        <sz val="10"/>
        <color indexed="12"/>
        <rFont val="ＭＳ Ｐゴシック"/>
        <family val="3"/>
      </rPr>
      <t>in</t>
    </r>
    <r>
      <rPr>
        <vertAlign val="superscript"/>
        <sz val="10"/>
        <color indexed="12"/>
        <rFont val="ＭＳ Ｐゴシック"/>
        <family val="3"/>
      </rPr>
      <t>#</t>
    </r>
  </si>
  <si>
    <t>Minimum velocity</t>
  </si>
  <si>
    <t>Slot flow-pass width  Input</t>
  </si>
  <si>
    <t>Slot flow-pass length  Input</t>
  </si>
  <si>
    <t>I/S</t>
  </si>
  <si>
    <t>Control key 3  Input</t>
  </si>
  <si>
    <t>Constant voltage single-pass (continuous) program</t>
  </si>
  <si>
    <r>
      <t xml:space="preserve">Adjust </t>
    </r>
    <r>
      <rPr>
        <i/>
        <sz val="10"/>
        <color indexed="10"/>
        <rFont val="ＭＳ Ｐゴシック"/>
        <family val="3"/>
      </rPr>
      <t>I/S</t>
    </r>
    <r>
      <rPr>
        <vertAlign val="superscript"/>
        <sz val="10"/>
        <color indexed="10"/>
        <rFont val="ＭＳ Ｐゴシック"/>
        <family val="3"/>
      </rPr>
      <t>*</t>
    </r>
    <r>
      <rPr>
        <sz val="10"/>
        <color indexed="10"/>
        <rFont val="ＭＳ Ｐゴシック"/>
        <family val="3"/>
      </rPr>
      <t xml:space="preserve"> to realize </t>
    </r>
    <r>
      <rPr>
        <i/>
        <sz val="10"/>
        <color indexed="10"/>
        <rFont val="ＭＳ Ｐゴシック"/>
        <family val="3"/>
      </rPr>
      <t>V</t>
    </r>
    <r>
      <rPr>
        <i/>
        <vertAlign val="subscript"/>
        <sz val="10"/>
        <color indexed="10"/>
        <rFont val="ＭＳ Ｐゴシック"/>
        <family val="3"/>
      </rPr>
      <t>cell</t>
    </r>
    <r>
      <rPr>
        <sz val="10"/>
        <color indexed="10"/>
        <rFont val="ＭＳ Ｐゴシック"/>
        <family val="3"/>
      </rPr>
      <t xml:space="preserve"> = </t>
    </r>
    <r>
      <rPr>
        <i/>
        <sz val="10"/>
        <color indexed="10"/>
        <rFont val="ＭＳ Ｐゴシック"/>
        <family val="3"/>
      </rPr>
      <t>V</t>
    </r>
    <r>
      <rPr>
        <i/>
        <vertAlign val="subscript"/>
        <sz val="10"/>
        <color indexed="10"/>
        <rFont val="ＭＳ Ｐゴシック"/>
        <family val="3"/>
      </rPr>
      <t>cell</t>
    </r>
    <r>
      <rPr>
        <i/>
        <vertAlign val="superscript"/>
        <sz val="10"/>
        <color indexed="10"/>
        <rFont val="ＭＳ Ｐゴシック"/>
        <family val="3"/>
      </rPr>
      <t xml:space="preserve">*  </t>
    </r>
    <r>
      <rPr>
        <sz val="10"/>
        <color indexed="10"/>
        <rFont val="ＭＳ Ｐゴシック"/>
        <family val="3"/>
      </rPr>
      <t>Decision point 3</t>
    </r>
  </si>
  <si>
    <t>Constant voltage single-pass (continuous) electrodialysis</t>
  </si>
  <si>
    <r>
      <t>mg/dm</t>
    </r>
    <r>
      <rPr>
        <vertAlign val="superscript"/>
        <sz val="10"/>
        <rFont val="ＭＳ Ｐゴシック"/>
        <family val="3"/>
      </rPr>
      <t>3</t>
    </r>
  </si>
  <si>
    <r>
      <t>mg/dm</t>
    </r>
    <r>
      <rPr>
        <vertAlign val="superscript"/>
        <sz val="12"/>
        <rFont val="ＭＳ Ｐゴシック"/>
        <family val="3"/>
      </rPr>
      <t>3</t>
    </r>
  </si>
  <si>
    <r>
      <t>u'</t>
    </r>
    <r>
      <rPr>
        <i/>
        <vertAlign val="subscript"/>
        <sz val="12"/>
        <rFont val="ＭＳ Ｐゴシック"/>
        <family val="3"/>
      </rPr>
      <t>out</t>
    </r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</si>
</sst>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.000E+00"/>
    <numFmt numFmtId="178" formatCode="0.000_ "/>
    <numFmt numFmtId="179" formatCode="0.0000_ "/>
    <numFmt numFmtId="180" formatCode="0.0000_);[Red]\(0.0000\)"/>
    <numFmt numFmtId="181" formatCode="0.000000_ "/>
    <numFmt numFmtId="182" formatCode="0.00000_ "/>
    <numFmt numFmtId="183" formatCode="0.0000E+00"/>
    <numFmt numFmtId="184" formatCode="0.00_ "/>
    <numFmt numFmtId="185" formatCode="0.0000000_ "/>
    <numFmt numFmtId="186" formatCode="0.0_ "/>
    <numFmt numFmtId="187" formatCode="0.000_);[Red]\(0.000\)"/>
    <numFmt numFmtId="188" formatCode="0.0_);[Red]\(0.0\)"/>
    <numFmt numFmtId="189" formatCode="0_ "/>
    <numFmt numFmtId="190" formatCode="&quot;\&quot;#,##0.0000;&quot;\&quot;\-#,##0.0000"/>
    <numFmt numFmtId="191" formatCode="#,##0.0000_ "/>
    <numFmt numFmtId="192" formatCode="0.00_);[Red]\(0.00\)"/>
    <numFmt numFmtId="193" formatCode="0.00000_);[Red]\(0.000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8"/>
      <name val="ＭＳ Ｐゴシック"/>
      <family val="3"/>
    </font>
    <font>
      <b/>
      <i/>
      <sz val="10"/>
      <color indexed="12"/>
      <name val="ＭＳ Ｐゴシック"/>
      <family val="3"/>
    </font>
    <font>
      <b/>
      <vertAlign val="superscript"/>
      <sz val="10"/>
      <color indexed="12"/>
      <name val="ＭＳ Ｐゴシック"/>
      <family val="3"/>
    </font>
    <font>
      <b/>
      <i/>
      <vertAlign val="subscript"/>
      <sz val="10"/>
      <color indexed="12"/>
      <name val="ＭＳ Ｐゴシック"/>
      <family val="3"/>
    </font>
    <font>
      <b/>
      <sz val="12"/>
      <name val="ＭＳ Ｐゴシック"/>
      <family val="3"/>
    </font>
    <font>
      <b/>
      <i/>
      <sz val="12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i/>
      <sz val="12"/>
      <name val="ＭＳ Ｐゴシック"/>
      <family val="3"/>
    </font>
    <font>
      <b/>
      <vertAlign val="subscript"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i/>
      <vertAlign val="subscript"/>
      <sz val="12"/>
      <name val="ＭＳ Ｐゴシック"/>
      <family val="3"/>
    </font>
    <font>
      <i/>
      <sz val="10"/>
      <name val="ＭＳ Ｐゴシック"/>
      <family val="3"/>
    </font>
    <font>
      <sz val="10"/>
      <name val="ＭＳ Ｐゴシック"/>
      <family val="3"/>
    </font>
    <font>
      <vertAlign val="subscript"/>
      <sz val="10"/>
      <name val="ＭＳ Ｐゴシック"/>
      <family val="3"/>
    </font>
    <font>
      <i/>
      <sz val="10"/>
      <color indexed="8"/>
      <name val="ＭＳ Ｐゴシック"/>
      <family val="3"/>
    </font>
    <font>
      <i/>
      <vertAlign val="subscript"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10"/>
      <name val="ＭＳ Ｐゴシック"/>
      <family val="3"/>
    </font>
    <font>
      <vertAlign val="subscript"/>
      <sz val="10"/>
      <color indexed="10"/>
      <name val="ＭＳ Ｐゴシック"/>
      <family val="3"/>
    </font>
    <font>
      <i/>
      <vertAlign val="subscript"/>
      <sz val="10"/>
      <color indexed="10"/>
      <name val="ＭＳ Ｐゴシック"/>
      <family val="3"/>
    </font>
    <font>
      <vertAlign val="superscript"/>
      <sz val="10"/>
      <color indexed="10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10"/>
      <color indexed="12"/>
      <name val="ＭＳ Ｐゴシック"/>
      <family val="3"/>
    </font>
    <font>
      <vertAlign val="superscript"/>
      <sz val="10"/>
      <name val="ＭＳ Ｐゴシック"/>
      <family val="3"/>
    </font>
    <font>
      <i/>
      <vertAlign val="subscript"/>
      <sz val="10"/>
      <name val="ＭＳ Ｐゴシック"/>
      <family val="3"/>
    </font>
    <font>
      <i/>
      <vertAlign val="superscript"/>
      <sz val="10"/>
      <color indexed="10"/>
      <name val="ＭＳ Ｐゴシック"/>
      <family val="3"/>
    </font>
    <font>
      <i/>
      <sz val="10"/>
      <color indexed="12"/>
      <name val="ＭＳ Ｐゴシック"/>
      <family val="3"/>
    </font>
    <font>
      <sz val="12"/>
      <name val="ＭＳ Ｐゴシック"/>
      <family val="3"/>
    </font>
    <font>
      <i/>
      <vertAlign val="superscript"/>
      <sz val="10"/>
      <name val="ＭＳ Ｐゴシック"/>
      <family val="3"/>
    </font>
    <font>
      <vertAlign val="subscript"/>
      <sz val="10"/>
      <color indexed="8"/>
      <name val="ＭＳ Ｐゴシック"/>
      <family val="3"/>
    </font>
    <font>
      <vertAlign val="subscript"/>
      <sz val="10"/>
      <color indexed="12"/>
      <name val="ＭＳ Ｐゴシック"/>
      <family val="3"/>
    </font>
    <font>
      <i/>
      <vertAlign val="subscript"/>
      <sz val="10"/>
      <color indexed="12"/>
      <name val="ＭＳ Ｐゴシック"/>
      <family val="3"/>
    </font>
    <font>
      <vertAlign val="superscript"/>
      <sz val="10"/>
      <color indexed="12"/>
      <name val="ＭＳ Ｐゴシック"/>
      <family val="3"/>
    </font>
    <font>
      <i/>
      <sz val="10"/>
      <color indexed="20"/>
      <name val="ＭＳ Ｐゴシック"/>
      <family val="3"/>
    </font>
    <font>
      <sz val="10"/>
      <color indexed="20"/>
      <name val="ＭＳ Ｐゴシック"/>
      <family val="3"/>
    </font>
    <font>
      <vertAlign val="superscript"/>
      <sz val="10"/>
      <color indexed="20"/>
      <name val="ＭＳ Ｐゴシック"/>
      <family val="3"/>
    </font>
    <font>
      <sz val="12"/>
      <color indexed="14"/>
      <name val="ＭＳ Ｐゴシック"/>
      <family val="3"/>
    </font>
    <font>
      <sz val="12"/>
      <color indexed="8"/>
      <name val="ＭＳ Ｐゴシック"/>
      <family val="3"/>
    </font>
    <font>
      <i/>
      <sz val="12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i/>
      <sz val="12"/>
      <name val="ＭＳ Ｐゴシック"/>
      <family val="3"/>
    </font>
    <font>
      <i/>
      <vertAlign val="subscript"/>
      <sz val="12"/>
      <name val="ＭＳ Ｐゴシック"/>
      <family val="3"/>
    </font>
    <font>
      <vertAlign val="superscript"/>
      <sz val="12"/>
      <name val="ＭＳ Ｐゴシック"/>
      <family val="3"/>
    </font>
    <font>
      <i/>
      <vertAlign val="subscript"/>
      <sz val="12"/>
      <color indexed="8"/>
      <name val="ＭＳ Ｐゴシック"/>
      <family val="3"/>
    </font>
    <font>
      <i/>
      <vertAlign val="superscript"/>
      <sz val="12"/>
      <name val="ＭＳ Ｐゴシック"/>
      <family val="3"/>
    </font>
    <font>
      <vertAlign val="subscript"/>
      <sz val="12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i/>
      <vertAlign val="subscript"/>
      <sz val="10"/>
      <color indexed="2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9" fontId="4" fillId="0" borderId="0" xfId="0" applyNumberFormat="1" applyFont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82" fontId="13" fillId="0" borderId="0" xfId="0" applyNumberFormat="1" applyFont="1" applyAlignment="1">
      <alignment/>
    </xf>
    <xf numFmtId="0" fontId="13" fillId="0" borderId="0" xfId="0" applyFont="1" applyAlignment="1" quotePrefix="1">
      <alignment/>
    </xf>
    <xf numFmtId="0" fontId="14" fillId="0" borderId="0" xfId="0" applyFont="1" applyAlignment="1">
      <alignment/>
    </xf>
    <xf numFmtId="189" fontId="10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77" fontId="23" fillId="0" borderId="0" xfId="0" applyNumberFormat="1" applyFont="1" applyAlignment="1">
      <alignment/>
    </xf>
    <xf numFmtId="177" fontId="21" fillId="0" borderId="0" xfId="0" applyNumberFormat="1" applyFont="1" applyAlignment="1">
      <alignment/>
    </xf>
    <xf numFmtId="0" fontId="29" fillId="0" borderId="0" xfId="0" applyFont="1" applyAlignment="1">
      <alignment/>
    </xf>
    <xf numFmtId="177" fontId="17" fillId="0" borderId="0" xfId="0" applyNumberFormat="1" applyFont="1" applyAlignment="1">
      <alignment/>
    </xf>
    <xf numFmtId="179" fontId="17" fillId="0" borderId="0" xfId="0" applyNumberFormat="1" applyFont="1" applyAlignment="1">
      <alignment/>
    </xf>
    <xf numFmtId="184" fontId="17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 quotePrefix="1">
      <alignment/>
    </xf>
    <xf numFmtId="182" fontId="17" fillId="0" borderId="0" xfId="0" applyNumberFormat="1" applyFont="1" applyAlignment="1">
      <alignment/>
    </xf>
    <xf numFmtId="178" fontId="17" fillId="0" borderId="0" xfId="0" applyNumberFormat="1" applyFont="1" applyAlignment="1">
      <alignment/>
    </xf>
    <xf numFmtId="178" fontId="21" fillId="0" borderId="0" xfId="0" applyNumberFormat="1" applyFont="1" applyAlignment="1">
      <alignment/>
    </xf>
    <xf numFmtId="179" fontId="21" fillId="0" borderId="0" xfId="0" applyNumberFormat="1" applyFont="1" applyAlignment="1">
      <alignment/>
    </xf>
    <xf numFmtId="0" fontId="21" fillId="0" borderId="0" xfId="0" applyFont="1" applyAlignment="1" quotePrefix="1">
      <alignment/>
    </xf>
    <xf numFmtId="182" fontId="21" fillId="0" borderId="0" xfId="0" applyNumberFormat="1" applyFont="1" applyAlignment="1">
      <alignment/>
    </xf>
    <xf numFmtId="0" fontId="33" fillId="0" borderId="0" xfId="0" applyFont="1" applyAlignment="1">
      <alignment/>
    </xf>
    <xf numFmtId="177" fontId="29" fillId="0" borderId="0" xfId="0" applyNumberFormat="1" applyFont="1" applyAlignment="1">
      <alignment/>
    </xf>
    <xf numFmtId="189" fontId="29" fillId="0" borderId="0" xfId="0" applyNumberFormat="1" applyFont="1" applyAlignment="1">
      <alignment/>
    </xf>
    <xf numFmtId="178" fontId="29" fillId="0" borderId="0" xfId="0" applyNumberFormat="1" applyFont="1" applyAlignment="1">
      <alignment/>
    </xf>
    <xf numFmtId="0" fontId="34" fillId="0" borderId="0" xfId="0" applyFont="1" applyAlignment="1">
      <alignment/>
    </xf>
    <xf numFmtId="0" fontId="16" fillId="0" borderId="0" xfId="0" applyFont="1" applyAlignment="1">
      <alignment horizontal="right"/>
    </xf>
    <xf numFmtId="0" fontId="23" fillId="0" borderId="0" xfId="0" applyFont="1" applyAlignment="1" quotePrefix="1">
      <alignment/>
    </xf>
    <xf numFmtId="184" fontId="21" fillId="0" borderId="0" xfId="0" applyNumberFormat="1" applyFont="1" applyAlignment="1">
      <alignment/>
    </xf>
    <xf numFmtId="179" fontId="23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 quotePrefix="1">
      <alignment horizontal="left"/>
    </xf>
    <xf numFmtId="0" fontId="17" fillId="0" borderId="0" xfId="0" applyFont="1" applyAlignment="1">
      <alignment horizontal="center"/>
    </xf>
    <xf numFmtId="182" fontId="23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17" fillId="0" borderId="0" xfId="0" applyFont="1" applyAlignment="1" quotePrefix="1">
      <alignment horizontal="right"/>
    </xf>
    <xf numFmtId="184" fontId="29" fillId="0" borderId="0" xfId="0" applyNumberFormat="1" applyFont="1" applyAlignment="1">
      <alignment/>
    </xf>
    <xf numFmtId="186" fontId="29" fillId="0" borderId="0" xfId="0" applyNumberFormat="1" applyFont="1" applyAlignment="1">
      <alignment/>
    </xf>
    <xf numFmtId="0" fontId="40" fillId="0" borderId="0" xfId="0" applyFont="1" applyAlignment="1">
      <alignment/>
    </xf>
    <xf numFmtId="177" fontId="41" fillId="0" borderId="0" xfId="0" applyNumberFormat="1" applyFont="1" applyAlignment="1">
      <alignment/>
    </xf>
    <xf numFmtId="0" fontId="41" fillId="0" borderId="0" xfId="0" applyFont="1" applyAlignment="1">
      <alignment/>
    </xf>
    <xf numFmtId="179" fontId="41" fillId="0" borderId="0" xfId="0" applyNumberFormat="1" applyFont="1" applyAlignment="1">
      <alignment/>
    </xf>
    <xf numFmtId="187" fontId="21" fillId="0" borderId="0" xfId="0" applyNumberFormat="1" applyFont="1" applyAlignment="1">
      <alignment/>
    </xf>
    <xf numFmtId="187" fontId="17" fillId="0" borderId="0" xfId="0" applyNumberFormat="1" applyFont="1" applyAlignment="1">
      <alignment/>
    </xf>
    <xf numFmtId="184" fontId="41" fillId="0" borderId="0" xfId="0" applyNumberFormat="1" applyFont="1" applyAlignment="1">
      <alignment/>
    </xf>
    <xf numFmtId="191" fontId="29" fillId="0" borderId="0" xfId="0" applyNumberFormat="1" applyFont="1" applyAlignment="1">
      <alignment/>
    </xf>
    <xf numFmtId="186" fontId="41" fillId="0" borderId="0" xfId="0" applyNumberFormat="1" applyFont="1" applyAlignment="1">
      <alignment/>
    </xf>
    <xf numFmtId="179" fontId="29" fillId="0" borderId="0" xfId="0" applyNumberFormat="1" applyFont="1" applyAlignment="1">
      <alignment/>
    </xf>
    <xf numFmtId="189" fontId="17" fillId="0" borderId="0" xfId="0" applyNumberFormat="1" applyFont="1" applyAlignment="1">
      <alignment/>
    </xf>
    <xf numFmtId="189" fontId="21" fillId="0" borderId="0" xfId="0" applyNumberFormat="1" applyFont="1" applyAlignment="1">
      <alignment/>
    </xf>
    <xf numFmtId="181" fontId="1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43" fillId="0" borderId="0" xfId="0" applyFont="1" applyAlignment="1">
      <alignment/>
    </xf>
    <xf numFmtId="177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79" fontId="11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79" fontId="44" fillId="0" borderId="0" xfId="0" applyNumberFormat="1" applyFont="1" applyAlignment="1">
      <alignment/>
    </xf>
    <xf numFmtId="186" fontId="44" fillId="0" borderId="0" xfId="0" applyNumberFormat="1" applyFont="1" applyAlignment="1">
      <alignment/>
    </xf>
    <xf numFmtId="189" fontId="44" fillId="0" borderId="0" xfId="0" applyNumberFormat="1" applyFont="1" applyAlignment="1">
      <alignment/>
    </xf>
    <xf numFmtId="0" fontId="47" fillId="0" borderId="0" xfId="0" applyFont="1" applyAlignment="1">
      <alignment/>
    </xf>
    <xf numFmtId="189" fontId="34" fillId="0" borderId="0" xfId="0" applyNumberFormat="1" applyFont="1" applyAlignment="1">
      <alignment/>
    </xf>
    <xf numFmtId="186" fontId="34" fillId="0" borderId="0" xfId="0" applyNumberFormat="1" applyFont="1" applyAlignment="1">
      <alignment/>
    </xf>
    <xf numFmtId="177" fontId="34" fillId="0" borderId="0" xfId="0" applyNumberFormat="1" applyFont="1" applyAlignment="1">
      <alignment/>
    </xf>
    <xf numFmtId="179" fontId="34" fillId="0" borderId="0" xfId="0" applyNumberFormat="1" applyFont="1" applyAlignment="1">
      <alignment/>
    </xf>
    <xf numFmtId="179" fontId="45" fillId="0" borderId="0" xfId="0" applyNumberFormat="1" applyFont="1" applyAlignment="1">
      <alignment/>
    </xf>
    <xf numFmtId="178" fontId="44" fillId="0" borderId="0" xfId="0" applyNumberFormat="1" applyFont="1" applyAlignment="1">
      <alignment/>
    </xf>
    <xf numFmtId="177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82" fontId="29" fillId="0" borderId="0" xfId="0" applyNumberFormat="1" applyFont="1" applyAlignment="1">
      <alignment/>
    </xf>
    <xf numFmtId="0" fontId="33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 applyAlignment="1" quotePrefix="1">
      <alignment horizontal="right"/>
    </xf>
    <xf numFmtId="189" fontId="41" fillId="0" borderId="0" xfId="0" applyNumberFormat="1" applyFont="1" applyAlignment="1">
      <alignment/>
    </xf>
    <xf numFmtId="179" fontId="41" fillId="0" borderId="0" xfId="0" applyNumberFormat="1" applyFont="1" applyAlignment="1">
      <alignment horizontal="right"/>
    </xf>
    <xf numFmtId="0" fontId="41" fillId="0" borderId="0" xfId="0" applyFont="1" applyAlignment="1" quotePrefix="1">
      <alignment/>
    </xf>
    <xf numFmtId="185" fontId="23" fillId="0" borderId="0" xfId="0" applyNumberFormat="1" applyFont="1" applyAlignment="1">
      <alignment/>
    </xf>
    <xf numFmtId="189" fontId="21" fillId="0" borderId="0" xfId="0" applyNumberFormat="1" applyFont="1" applyAlignment="1" quotePrefix="1">
      <alignment/>
    </xf>
    <xf numFmtId="178" fontId="34" fillId="0" borderId="0" xfId="0" applyNumberFormat="1" applyFont="1" applyAlignment="1">
      <alignment/>
    </xf>
    <xf numFmtId="183" fontId="23" fillId="0" borderId="0" xfId="0" applyNumberFormat="1" applyFont="1" applyAlignment="1">
      <alignment/>
    </xf>
    <xf numFmtId="182" fontId="34" fillId="0" borderId="0" xfId="0" applyNumberFormat="1" applyFont="1" applyAlignment="1">
      <alignment/>
    </xf>
    <xf numFmtId="181" fontId="23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181" fontId="29" fillId="0" borderId="0" xfId="0" applyNumberFormat="1" applyFont="1" applyAlignment="1">
      <alignment/>
    </xf>
    <xf numFmtId="193" fontId="29" fillId="0" borderId="0" xfId="0" applyNumberFormat="1" applyFont="1" applyAlignment="1">
      <alignment/>
    </xf>
    <xf numFmtId="193" fontId="17" fillId="0" borderId="0" xfId="0" applyNumberFormat="1" applyFont="1" applyAlignment="1">
      <alignment/>
    </xf>
    <xf numFmtId="193" fontId="21" fillId="0" borderId="0" xfId="0" applyNumberFormat="1" applyFont="1" applyAlignment="1">
      <alignment/>
    </xf>
    <xf numFmtId="178" fontId="41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83" fontId="29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8"/>
  <sheetViews>
    <sheetView tabSelected="1" view="pageBreakPreview" zoomScaleSheetLayoutView="100" workbookViewId="0" topLeftCell="A235">
      <selection activeCell="D244" sqref="D244"/>
    </sheetView>
  </sheetViews>
  <sheetFormatPr defaultColWidth="9.00390625" defaultRowHeight="13.5"/>
  <cols>
    <col min="1" max="1" width="3.625" style="1" customWidth="1"/>
    <col min="2" max="9" width="15.625" style="1" customWidth="1"/>
    <col min="10" max="11" width="12.625" style="1" customWidth="1"/>
    <col min="12" max="12" width="10.875" style="1" customWidth="1"/>
    <col min="13" max="16384" width="9.00390625" style="1" customWidth="1"/>
  </cols>
  <sheetData>
    <row r="2" spans="2:10" ht="14.25">
      <c r="B2" s="12" t="s">
        <v>304</v>
      </c>
      <c r="J2" s="20"/>
    </row>
    <row r="3" spans="2:11" ht="15">
      <c r="B3" s="12" t="s">
        <v>405</v>
      </c>
      <c r="I3" s="74" t="s">
        <v>281</v>
      </c>
      <c r="J3" s="118">
        <f>$C$17</f>
        <v>0.39999421662856516</v>
      </c>
      <c r="K3" s="4" t="s">
        <v>283</v>
      </c>
    </row>
    <row r="4" spans="9:11" s="12" customFormat="1" ht="15">
      <c r="I4" s="74" t="s">
        <v>214</v>
      </c>
      <c r="J4" s="10">
        <f>$C$13</f>
        <v>1999.9872</v>
      </c>
      <c r="K4" s="4" t="s">
        <v>209</v>
      </c>
    </row>
    <row r="5" spans="6:11" ht="14.25" customHeight="1">
      <c r="F5" s="4"/>
      <c r="I5" s="74" t="s">
        <v>282</v>
      </c>
      <c r="J5" s="10">
        <f>$C$15</f>
        <v>1999.9872</v>
      </c>
      <c r="K5" s="4" t="s">
        <v>209</v>
      </c>
    </row>
    <row r="6" spans="6:11" ht="14.25" customHeight="1">
      <c r="F6" s="4"/>
      <c r="I6" s="74" t="s">
        <v>215</v>
      </c>
      <c r="J6" s="112">
        <f>$I$11</f>
        <v>25</v>
      </c>
      <c r="K6" s="4" t="s">
        <v>14</v>
      </c>
    </row>
    <row r="7" spans="2:8" ht="14.25" customHeight="1">
      <c r="B7" s="12" t="s">
        <v>18</v>
      </c>
      <c r="F7" s="4"/>
      <c r="H7" s="4"/>
    </row>
    <row r="8" ht="12">
      <c r="B8" s="1" t="s">
        <v>165</v>
      </c>
    </row>
    <row r="9" spans="2:10" s="20" customFormat="1" ht="12">
      <c r="B9" s="61" t="s">
        <v>385</v>
      </c>
      <c r="C9" s="69">
        <v>0.1</v>
      </c>
      <c r="D9" s="63" t="s">
        <v>386</v>
      </c>
      <c r="E9" s="63" t="s">
        <v>387</v>
      </c>
      <c r="F9" s="63"/>
      <c r="G9" s="63"/>
      <c r="H9" s="19" t="s">
        <v>30</v>
      </c>
      <c r="I9" s="35">
        <v>8.314</v>
      </c>
      <c r="J9" s="20" t="s">
        <v>31</v>
      </c>
    </row>
    <row r="10" spans="2:10" s="20" customFormat="1" ht="13.5">
      <c r="B10" s="61" t="s">
        <v>388</v>
      </c>
      <c r="C10" s="69">
        <v>10</v>
      </c>
      <c r="D10" s="63" t="s">
        <v>189</v>
      </c>
      <c r="E10" s="63" t="s">
        <v>389</v>
      </c>
      <c r="F10" s="63"/>
      <c r="G10" s="63"/>
      <c r="H10" s="19" t="s">
        <v>7</v>
      </c>
      <c r="I10" s="31">
        <f>273.16+$I$11</f>
        <v>298.16</v>
      </c>
      <c r="J10" s="20" t="s">
        <v>32</v>
      </c>
    </row>
    <row r="11" spans="2:11" s="20" customFormat="1" ht="13.5">
      <c r="B11" s="61" t="s">
        <v>390</v>
      </c>
      <c r="C11" s="69">
        <v>1</v>
      </c>
      <c r="D11" s="63" t="s">
        <v>189</v>
      </c>
      <c r="E11" s="63" t="s">
        <v>391</v>
      </c>
      <c r="F11" s="63"/>
      <c r="G11" s="63"/>
      <c r="H11" s="61" t="s">
        <v>7</v>
      </c>
      <c r="I11" s="69">
        <v>25</v>
      </c>
      <c r="J11" s="63" t="s">
        <v>19</v>
      </c>
      <c r="K11" s="63" t="s">
        <v>312</v>
      </c>
    </row>
    <row r="12" spans="2:10" s="20" customFormat="1" ht="15">
      <c r="B12" s="61" t="s">
        <v>392</v>
      </c>
      <c r="C12" s="62">
        <v>3.456E-05</v>
      </c>
      <c r="D12" s="63" t="s">
        <v>393</v>
      </c>
      <c r="E12" s="63" t="s">
        <v>394</v>
      </c>
      <c r="F12" s="63"/>
      <c r="G12" s="63"/>
      <c r="H12" s="19" t="s">
        <v>8</v>
      </c>
      <c r="I12" s="71">
        <v>96485</v>
      </c>
      <c r="J12" s="20" t="s">
        <v>33</v>
      </c>
    </row>
    <row r="13" spans="2:10" s="20" customFormat="1" ht="14.25">
      <c r="B13" s="28"/>
      <c r="C13" s="60">
        <f>57.87*1000*1000*$C$12</f>
        <v>1999.9872</v>
      </c>
      <c r="D13" s="28" t="s">
        <v>251</v>
      </c>
      <c r="E13" s="28"/>
      <c r="H13" s="19" t="s">
        <v>9</v>
      </c>
      <c r="I13" s="73">
        <f>$I$9*$I$10/$I$12</f>
        <v>0.0256920997046173</v>
      </c>
      <c r="J13" s="20" t="s">
        <v>1</v>
      </c>
    </row>
    <row r="14" spans="2:10" s="20" customFormat="1" ht="15">
      <c r="B14" s="61" t="s">
        <v>395</v>
      </c>
      <c r="C14" s="62">
        <v>3.456E-05</v>
      </c>
      <c r="D14" s="63" t="s">
        <v>396</v>
      </c>
      <c r="E14" s="63" t="s">
        <v>383</v>
      </c>
      <c r="F14" s="63"/>
      <c r="G14" s="63"/>
      <c r="J14" s="28"/>
    </row>
    <row r="15" spans="3:5" s="20" customFormat="1" ht="14.25">
      <c r="C15" s="60">
        <f>57.87*1000*1000*$C$14</f>
        <v>1999.9872</v>
      </c>
      <c r="D15" s="28" t="s">
        <v>251</v>
      </c>
      <c r="E15" s="28"/>
    </row>
    <row r="16" spans="2:6" s="20" customFormat="1" ht="14.25">
      <c r="B16" s="25" t="s">
        <v>280</v>
      </c>
      <c r="C16" s="106">
        <v>0.007324</v>
      </c>
      <c r="D16" s="24" t="s">
        <v>277</v>
      </c>
      <c r="E16" s="24" t="s">
        <v>284</v>
      </c>
      <c r="F16" s="24"/>
    </row>
    <row r="17" spans="2:6" s="20" customFormat="1" ht="15">
      <c r="B17" s="25" t="s">
        <v>278</v>
      </c>
      <c r="C17" s="48">
        <f>$I$140</f>
        <v>0.39999421662856516</v>
      </c>
      <c r="D17" s="24" t="s">
        <v>233</v>
      </c>
      <c r="E17" s="24" t="s">
        <v>406</v>
      </c>
      <c r="F17" s="24"/>
    </row>
    <row r="18" spans="2:6" s="20" customFormat="1" ht="15">
      <c r="B18" s="25" t="s">
        <v>279</v>
      </c>
      <c r="C18" s="48">
        <v>0.4</v>
      </c>
      <c r="D18" s="24" t="s">
        <v>233</v>
      </c>
      <c r="E18" s="24" t="s">
        <v>404</v>
      </c>
      <c r="F18" s="24"/>
    </row>
    <row r="19" spans="2:9" s="20" customFormat="1" ht="14.25">
      <c r="B19" s="21" t="s">
        <v>241</v>
      </c>
      <c r="C19" s="72">
        <f>$C$21</f>
        <v>300</v>
      </c>
      <c r="D19" s="22" t="s">
        <v>242</v>
      </c>
      <c r="E19" s="22" t="s">
        <v>243</v>
      </c>
      <c r="F19" s="22"/>
      <c r="G19" s="40" t="s">
        <v>314</v>
      </c>
      <c r="H19" s="41">
        <f>3.421*10^-3+3.333*10^-4*$I$11</f>
        <v>0.011753500000000002</v>
      </c>
      <c r="I19" s="28" t="s">
        <v>315</v>
      </c>
    </row>
    <row r="20" spans="2:9" s="20" customFormat="1" ht="12">
      <c r="B20" s="19" t="s">
        <v>168</v>
      </c>
      <c r="C20" s="71">
        <f>$C$19+1</f>
        <v>301</v>
      </c>
      <c r="D20" s="20" t="s">
        <v>34</v>
      </c>
      <c r="E20" s="20" t="s">
        <v>20</v>
      </c>
      <c r="G20" s="40" t="s">
        <v>316</v>
      </c>
      <c r="H20" s="41">
        <f>9.208*10^-6+1.914*10^-5*$H$19</f>
        <v>9.43296199E-06</v>
      </c>
      <c r="I20" s="28" t="s">
        <v>317</v>
      </c>
    </row>
    <row r="21" spans="2:9" s="20" customFormat="1" ht="12">
      <c r="B21" s="61" t="s">
        <v>203</v>
      </c>
      <c r="C21" s="103">
        <v>300</v>
      </c>
      <c r="D21" s="63" t="s">
        <v>299</v>
      </c>
      <c r="E21" s="63" t="s">
        <v>305</v>
      </c>
      <c r="F21" s="63"/>
      <c r="G21" s="40" t="s">
        <v>318</v>
      </c>
      <c r="H21" s="41">
        <f>2.005*10^-4*$H$19</f>
        <v>2.35657675E-06</v>
      </c>
      <c r="I21" s="28" t="s">
        <v>3</v>
      </c>
    </row>
    <row r="22" spans="2:9" s="20" customFormat="1" ht="14.25">
      <c r="B22" s="61" t="s">
        <v>397</v>
      </c>
      <c r="C22" s="117">
        <v>0.05</v>
      </c>
      <c r="D22" s="63" t="s">
        <v>13</v>
      </c>
      <c r="E22" s="63" t="s">
        <v>306</v>
      </c>
      <c r="F22" s="63"/>
      <c r="G22" s="40" t="s">
        <v>319</v>
      </c>
      <c r="H22" s="41">
        <f>3.768*10^-3*$H$19^0.2-1.019*10^-2*$H$19</f>
        <v>0.0014295632839597893</v>
      </c>
      <c r="I22" s="28" t="s">
        <v>320</v>
      </c>
    </row>
    <row r="23" spans="2:9" s="20" customFormat="1" ht="13.5">
      <c r="B23" s="61" t="s">
        <v>5</v>
      </c>
      <c r="C23" s="103">
        <v>100</v>
      </c>
      <c r="D23" s="63" t="s">
        <v>13</v>
      </c>
      <c r="E23" s="63" t="s">
        <v>307</v>
      </c>
      <c r="F23" s="63"/>
      <c r="G23" s="40" t="s">
        <v>321</v>
      </c>
      <c r="H23" s="70">
        <f>$H$20*$I$12+1</f>
        <v>1.91013933760515</v>
      </c>
      <c r="I23" s="28" t="s">
        <v>2</v>
      </c>
    </row>
    <row r="24" spans="2:9" s="20" customFormat="1" ht="12">
      <c r="B24" s="61" t="s">
        <v>4</v>
      </c>
      <c r="C24" s="103">
        <v>100</v>
      </c>
      <c r="D24" s="63" t="s">
        <v>13</v>
      </c>
      <c r="E24" s="63" t="s">
        <v>308</v>
      </c>
      <c r="F24" s="63"/>
      <c r="G24" s="28" t="s">
        <v>322</v>
      </c>
      <c r="H24" s="28"/>
      <c r="I24" s="28"/>
    </row>
    <row r="25" spans="2:9" s="20" customFormat="1" ht="15">
      <c r="B25" s="19" t="s">
        <v>0</v>
      </c>
      <c r="C25" s="71">
        <f>$C$24*$C$23</f>
        <v>10000</v>
      </c>
      <c r="D25" s="20" t="s">
        <v>36</v>
      </c>
      <c r="E25" s="20" t="s">
        <v>37</v>
      </c>
      <c r="G25" s="40" t="s">
        <v>323</v>
      </c>
      <c r="H25" s="70">
        <f>1.2323*$H$19^-(1/3)</f>
        <v>5.419934580882536</v>
      </c>
      <c r="I25" s="28" t="s">
        <v>324</v>
      </c>
    </row>
    <row r="26" spans="2:7" s="20" customFormat="1" ht="12">
      <c r="B26" s="61" t="s">
        <v>169</v>
      </c>
      <c r="C26" s="67">
        <v>0.3</v>
      </c>
      <c r="D26" s="63" t="s">
        <v>13</v>
      </c>
      <c r="E26" s="63" t="s">
        <v>309</v>
      </c>
      <c r="F26" s="63"/>
      <c r="G26" s="34"/>
    </row>
    <row r="27" spans="2:7" s="20" customFormat="1" ht="12">
      <c r="B27" s="61" t="s">
        <v>170</v>
      </c>
      <c r="C27" s="104">
        <f>3.14159/3</f>
        <v>1.0471966666666666</v>
      </c>
      <c r="D27" s="105" t="s">
        <v>398</v>
      </c>
      <c r="E27" s="63" t="s">
        <v>310</v>
      </c>
      <c r="F27" s="63"/>
      <c r="G27" s="34"/>
    </row>
    <row r="28" spans="2:7" s="20" customFormat="1" ht="12">
      <c r="B28" s="21" t="s">
        <v>6</v>
      </c>
      <c r="C28" s="39">
        <f>(3.14159*$C$22)/(8*$C$26*SIN($C$27))</f>
        <v>0.07557494826922562</v>
      </c>
      <c r="D28" s="22" t="s">
        <v>2</v>
      </c>
      <c r="E28" s="22" t="s">
        <v>311</v>
      </c>
      <c r="F28" s="28"/>
      <c r="G28" s="34"/>
    </row>
    <row r="29" spans="2:7" s="20" customFormat="1" ht="13.5">
      <c r="B29" s="19" t="s">
        <v>39</v>
      </c>
      <c r="C29" s="34">
        <f>(8-3.14159*($C$22/$C$26))/(4*($C$23^-1+$C$22^-1)+2*3.14159*(1-($C$22/(4*$C$23))/$C$26))</f>
        <v>0.0866120596613458</v>
      </c>
      <c r="D29" s="20" t="s">
        <v>13</v>
      </c>
      <c r="E29" s="20" t="s">
        <v>21</v>
      </c>
      <c r="G29" s="34"/>
    </row>
    <row r="30" spans="2:7" s="20" customFormat="1" ht="12">
      <c r="B30" s="19"/>
      <c r="C30" s="34"/>
      <c r="G30" s="34"/>
    </row>
    <row r="31" spans="2:7" s="20" customFormat="1" ht="12">
      <c r="B31" s="19"/>
      <c r="C31" s="34"/>
      <c r="G31" s="34"/>
    </row>
    <row r="32" spans="2:7" s="20" customFormat="1" ht="12">
      <c r="B32" s="19"/>
      <c r="C32" s="34"/>
      <c r="G32" s="34"/>
    </row>
    <row r="33" spans="2:5" s="20" customFormat="1" ht="12">
      <c r="B33" s="20" t="s">
        <v>288</v>
      </c>
      <c r="C33" s="34"/>
      <c r="E33" s="20" t="s">
        <v>289</v>
      </c>
    </row>
    <row r="34" spans="2:9" s="20" customFormat="1" ht="12">
      <c r="B34" s="61" t="s">
        <v>171</v>
      </c>
      <c r="C34" s="69">
        <v>4</v>
      </c>
      <c r="D34" s="63" t="s">
        <v>13</v>
      </c>
      <c r="E34" s="61" t="s">
        <v>174</v>
      </c>
      <c r="F34" s="69">
        <v>2</v>
      </c>
      <c r="G34" s="63" t="s">
        <v>13</v>
      </c>
      <c r="H34" s="63" t="s">
        <v>401</v>
      </c>
      <c r="I34" s="63"/>
    </row>
    <row r="35" spans="2:9" s="20" customFormat="1" ht="12">
      <c r="B35" s="61" t="s">
        <v>172</v>
      </c>
      <c r="C35" s="69">
        <v>4</v>
      </c>
      <c r="D35" s="63" t="s">
        <v>13</v>
      </c>
      <c r="E35" s="61" t="s">
        <v>175</v>
      </c>
      <c r="F35" s="69">
        <v>4</v>
      </c>
      <c r="G35" s="63" t="s">
        <v>13</v>
      </c>
      <c r="H35" s="63" t="s">
        <v>402</v>
      </c>
      <c r="I35" s="63"/>
    </row>
    <row r="36" spans="2:9" s="20" customFormat="1" ht="12">
      <c r="B36" s="61" t="s">
        <v>173</v>
      </c>
      <c r="C36" s="103">
        <v>5</v>
      </c>
      <c r="D36" s="63"/>
      <c r="E36" s="61" t="s">
        <v>176</v>
      </c>
      <c r="F36" s="103">
        <v>2</v>
      </c>
      <c r="G36" s="63"/>
      <c r="H36" s="63" t="s">
        <v>382</v>
      </c>
      <c r="I36" s="63"/>
    </row>
    <row r="37" spans="2:8" s="20" customFormat="1" ht="13.5">
      <c r="B37" s="19" t="s">
        <v>292</v>
      </c>
      <c r="C37" s="34">
        <f>(8-3.14159*($C$22/$C$26))/(4*($C$34^-1+$C$22^-1)+2*3.14159*(1-($C$22/(4*$C$34))/$C$26))</f>
        <v>0.08572112171238691</v>
      </c>
      <c r="D37" s="20" t="s">
        <v>13</v>
      </c>
      <c r="E37" s="19" t="s">
        <v>295</v>
      </c>
      <c r="F37" s="34">
        <f>(8-3.14159*($C$22/$C$26))/(4*($F$34^-1+$C$22^-1)+2*3.14159*(1-($C$22/(4*$F$34))/$C$26))</f>
        <v>0.08481234553806424</v>
      </c>
      <c r="G37" s="34" t="s">
        <v>13</v>
      </c>
      <c r="H37" s="20" t="s">
        <v>177</v>
      </c>
    </row>
    <row r="38" spans="2:8" s="20" customFormat="1" ht="13.5">
      <c r="B38" s="19" t="s">
        <v>293</v>
      </c>
      <c r="C38" s="31">
        <f>($C$23*$C$10)/($C$36*$C$34)</f>
        <v>50</v>
      </c>
      <c r="D38" s="20" t="s">
        <v>3</v>
      </c>
      <c r="E38" s="19" t="s">
        <v>296</v>
      </c>
      <c r="F38" s="31">
        <f>($C$23*$C$11)/($F$36*$F$34)</f>
        <v>25</v>
      </c>
      <c r="G38" s="20" t="s">
        <v>3</v>
      </c>
      <c r="H38" s="20" t="s">
        <v>290</v>
      </c>
    </row>
    <row r="39" spans="2:8" s="20" customFormat="1" ht="13.5">
      <c r="B39" s="19" t="s">
        <v>294</v>
      </c>
      <c r="C39" s="31">
        <f>($C$23*$C$59)/($C$36*$C$34)</f>
        <v>49.88532749043013</v>
      </c>
      <c r="D39" s="20" t="s">
        <v>3</v>
      </c>
      <c r="E39" s="19" t="s">
        <v>297</v>
      </c>
      <c r="F39" s="31">
        <f>($C$23*$C$62)/($F$36*$F$34)</f>
        <v>25.57336254784934</v>
      </c>
      <c r="G39" s="20" t="s">
        <v>3</v>
      </c>
      <c r="H39" s="20" t="s">
        <v>291</v>
      </c>
    </row>
    <row r="41" s="12" customFormat="1" ht="14.25">
      <c r="B41" s="12" t="s">
        <v>23</v>
      </c>
    </row>
    <row r="42" ht="12">
      <c r="B42" s="1" t="s">
        <v>298</v>
      </c>
    </row>
    <row r="43" spans="2:6" s="20" customFormat="1" ht="15">
      <c r="B43" s="40" t="s">
        <v>325</v>
      </c>
      <c r="C43" s="41">
        <f>$C$12-(($C$56*$C$24)/($C$22*$I$12))*$C$16/$C$60</f>
        <v>2.0764550685885143E-05</v>
      </c>
      <c r="D43" s="28" t="s">
        <v>167</v>
      </c>
      <c r="E43" s="98"/>
      <c r="F43" s="28"/>
    </row>
    <row r="44" spans="2:12" s="20" customFormat="1" ht="14.25">
      <c r="B44" s="40"/>
      <c r="C44" s="98">
        <f>$C$43*10^3</f>
        <v>0.020764550685885143</v>
      </c>
      <c r="D44" s="28" t="s">
        <v>326</v>
      </c>
      <c r="E44" s="28" t="s">
        <v>22</v>
      </c>
      <c r="F44" s="28"/>
      <c r="J44" s="20" t="s">
        <v>246</v>
      </c>
      <c r="K44" s="29">
        <f>$H$22*$C$16+$H$21-$H$19*$C$47</f>
        <v>1.252060795495175E-05</v>
      </c>
      <c r="L44" s="22" t="s">
        <v>190</v>
      </c>
    </row>
    <row r="45" spans="2:12" s="20" customFormat="1" ht="14.25">
      <c r="B45" s="40"/>
      <c r="C45" s="43">
        <f>57.87*$C$44</f>
        <v>1.2016445481921731</v>
      </c>
      <c r="D45" s="28" t="s">
        <v>327</v>
      </c>
      <c r="E45" s="28"/>
      <c r="F45" s="28"/>
      <c r="J45" s="20" t="s">
        <v>247</v>
      </c>
      <c r="K45" s="29">
        <f>$H$20*$C$16+$H$21*$C$47</f>
        <v>6.914838471725734E-08</v>
      </c>
      <c r="L45" s="20" t="s">
        <v>199</v>
      </c>
    </row>
    <row r="46" spans="2:12" s="20" customFormat="1" ht="14.25">
      <c r="B46" s="40"/>
      <c r="C46" s="43">
        <f>(($K$50^2+4*$K$49*$C$45)^0.5-$K$50)/(2*$K$49)</f>
        <v>1.2051813350647198</v>
      </c>
      <c r="D46" s="28" t="s">
        <v>43</v>
      </c>
      <c r="E46" s="28"/>
      <c r="F46" s="28"/>
      <c r="J46" s="22" t="s">
        <v>248</v>
      </c>
      <c r="K46" s="36">
        <f>($C$24/$C$22)*$H$19*$B$200</f>
        <v>13.396874370000004</v>
      </c>
      <c r="L46" s="22" t="s">
        <v>35</v>
      </c>
    </row>
    <row r="47" spans="2:12" s="20" customFormat="1" ht="15">
      <c r="B47" s="25" t="s">
        <v>44</v>
      </c>
      <c r="C47" s="26">
        <f>$C$167</f>
        <v>2.6042479837473614E-05</v>
      </c>
      <c r="D47" s="24" t="s">
        <v>181</v>
      </c>
      <c r="E47" s="38"/>
      <c r="J47" s="22" t="s">
        <v>249</v>
      </c>
      <c r="K47" s="37">
        <f>($C$24/$C$22)*($H$22*$C$16-$H$19*($C$48-(1-$B$200)*$C$14))+$C$11</f>
        <v>1.0206775266452157</v>
      </c>
      <c r="L47" s="22" t="s">
        <v>3</v>
      </c>
    </row>
    <row r="48" spans="2:12" s="20" customFormat="1" ht="15">
      <c r="B48" s="25" t="s">
        <v>46</v>
      </c>
      <c r="C48" s="26">
        <v>2.604E-05</v>
      </c>
      <c r="D48" s="24" t="s">
        <v>181</v>
      </c>
      <c r="E48" s="24" t="s">
        <v>253</v>
      </c>
      <c r="H48" s="24"/>
      <c r="J48" s="22" t="s">
        <v>250</v>
      </c>
      <c r="K48" s="27">
        <f>$C$14*$C$11+($C$24/$C$22)*($H$20*$C$16-$H$21*($C$50-$C$48))</f>
        <v>0.00017233406902351</v>
      </c>
      <c r="L48" s="22" t="s">
        <v>45</v>
      </c>
    </row>
    <row r="49" spans="2:11" s="20" customFormat="1" ht="15">
      <c r="B49" s="25" t="s">
        <v>47</v>
      </c>
      <c r="C49" s="26">
        <f>$C$14+$B$200*($C$51-$C$14)</f>
        <v>0.00011087681161060908</v>
      </c>
      <c r="D49" s="24" t="s">
        <v>181</v>
      </c>
      <c r="E49" s="24"/>
      <c r="H49" s="38"/>
      <c r="J49" s="20" t="s">
        <v>197</v>
      </c>
      <c r="K49" s="29">
        <f>(7.881-1.368*10^-2*$I$11+8.978*10^-5*$I$11^2)*10^-4</f>
        <v>0.0007595112500000001</v>
      </c>
    </row>
    <row r="50" spans="2:11" s="20" customFormat="1" ht="15">
      <c r="B50" s="25" t="s">
        <v>48</v>
      </c>
      <c r="C50" s="26">
        <v>0.0001109</v>
      </c>
      <c r="D50" s="24" t="s">
        <v>181</v>
      </c>
      <c r="E50" s="24" t="s">
        <v>254</v>
      </c>
      <c r="H50" s="38"/>
      <c r="J50" s="20" t="s">
        <v>198</v>
      </c>
      <c r="K50" s="20">
        <f>1.001-1.101*10^-4*$I$11-3.356*10^-6*$I$11^2</f>
        <v>0.9961499999999999</v>
      </c>
    </row>
    <row r="51" spans="2:7" s="20" customFormat="1" ht="15">
      <c r="B51" s="19" t="s">
        <v>178</v>
      </c>
      <c r="C51" s="29">
        <f>(($K$47^2+4*$K$46*$K$48)^0.5-$K$47)/(2*$K$46)</f>
        <v>0.00016847028690601863</v>
      </c>
      <c r="D51" s="20" t="s">
        <v>40</v>
      </c>
      <c r="E51" s="107">
        <f>57.87*$C$51*10^6</f>
        <v>9749.375503251298</v>
      </c>
      <c r="F51" s="20" t="s">
        <v>408</v>
      </c>
      <c r="G51" s="20" t="s">
        <v>179</v>
      </c>
    </row>
    <row r="52" spans="2:7" s="20" customFormat="1" ht="15">
      <c r="B52" s="19" t="s">
        <v>200</v>
      </c>
      <c r="C52" s="29">
        <f>(($K$44^2+4*$H$19*$K$45)^0.5-$K$44)/(2*$H$19)</f>
        <v>0.0019506941450807495</v>
      </c>
      <c r="D52" s="20" t="s">
        <v>40</v>
      </c>
      <c r="E52" s="107">
        <f>57.87*$C$52*10^6</f>
        <v>112886.67017582296</v>
      </c>
      <c r="F52" s="20" t="s">
        <v>408</v>
      </c>
      <c r="G52" s="20" t="s">
        <v>201</v>
      </c>
    </row>
    <row r="53" spans="2:5" s="20" customFormat="1" ht="15">
      <c r="B53" s="40" t="s">
        <v>328</v>
      </c>
      <c r="C53" s="41">
        <f>$H$20*$C$16-$H$21*($C$49-$C$48)</f>
        <v>6.888708915697431E-08</v>
      </c>
      <c r="D53" s="28" t="s">
        <v>329</v>
      </c>
      <c r="E53" s="28" t="s">
        <v>330</v>
      </c>
    </row>
    <row r="54" spans="2:10" s="20" customFormat="1" ht="15">
      <c r="B54" s="40" t="s">
        <v>331</v>
      </c>
      <c r="C54" s="41">
        <f>$H$22*$C$16+$H$19*($C$49-$C$48)</f>
        <v>1.146725095698679E-05</v>
      </c>
      <c r="D54" s="28" t="s">
        <v>332</v>
      </c>
      <c r="E54" s="28" t="s">
        <v>244</v>
      </c>
      <c r="H54" s="24"/>
      <c r="I54" s="26"/>
      <c r="J54" s="24"/>
    </row>
    <row r="55" spans="2:10" s="20" customFormat="1" ht="14.25">
      <c r="B55" s="19" t="s">
        <v>10</v>
      </c>
      <c r="C55" s="34">
        <f>$C$23*$C$24*$C$54</f>
        <v>0.1146725095698679</v>
      </c>
      <c r="D55" s="20" t="s">
        <v>49</v>
      </c>
      <c r="E55" s="35">
        <f>$C$54*100*3600</f>
        <v>4.128210344515244</v>
      </c>
      <c r="F55" s="20" t="s">
        <v>50</v>
      </c>
      <c r="G55" s="20" t="s">
        <v>51</v>
      </c>
      <c r="H55" s="24"/>
      <c r="I55" s="26"/>
      <c r="J55" s="24"/>
    </row>
    <row r="56" spans="2:6" s="22" customFormat="1" ht="12">
      <c r="B56" s="40" t="s">
        <v>224</v>
      </c>
      <c r="C56" s="70">
        <f>$I$12*$C$53/$C$16</f>
        <v>0.9075055703591844</v>
      </c>
      <c r="D56" s="28" t="s">
        <v>2</v>
      </c>
      <c r="E56" s="28" t="s">
        <v>333</v>
      </c>
      <c r="F56" s="20"/>
    </row>
    <row r="57" spans="2:6" s="22" customFormat="1" ht="15">
      <c r="B57" s="19" t="s">
        <v>52</v>
      </c>
      <c r="C57" s="31">
        <f>$C$22*$C$23*$C$10</f>
        <v>50</v>
      </c>
      <c r="D57" s="20" t="s">
        <v>49</v>
      </c>
      <c r="E57" s="20"/>
      <c r="F57" s="20"/>
    </row>
    <row r="58" spans="2:6" s="22" customFormat="1" ht="15">
      <c r="B58" s="40" t="s">
        <v>334</v>
      </c>
      <c r="C58" s="59">
        <f>$C$57-$C$55</f>
        <v>49.88532749043013</v>
      </c>
      <c r="D58" s="28" t="s">
        <v>335</v>
      </c>
      <c r="E58" s="28" t="s">
        <v>245</v>
      </c>
      <c r="F58" s="28"/>
    </row>
    <row r="59" spans="2:5" s="20" customFormat="1" ht="13.5">
      <c r="B59" s="19" t="s">
        <v>53</v>
      </c>
      <c r="C59" s="35">
        <f>$C$58/($C$22*$C$23)</f>
        <v>9.977065498086025</v>
      </c>
      <c r="D59" s="20" t="s">
        <v>3</v>
      </c>
      <c r="E59" s="20" t="s">
        <v>24</v>
      </c>
    </row>
    <row r="60" spans="2:4" s="20" customFormat="1" ht="13.5">
      <c r="B60" s="21" t="s">
        <v>54</v>
      </c>
      <c r="C60" s="36">
        <f>$C$10-$B$200*($C$55/($C$22*$C$23))</f>
        <v>9.986929398014208</v>
      </c>
      <c r="D60" s="20" t="s">
        <v>3</v>
      </c>
    </row>
    <row r="61" spans="2:5" s="20" customFormat="1" ht="13.5">
      <c r="B61" s="21" t="s">
        <v>55</v>
      </c>
      <c r="C61" s="36">
        <f>$C$10-($B$200/2)*($C$55/($C$22*$C$23))</f>
        <v>9.993464699007104</v>
      </c>
      <c r="D61" s="20" t="s">
        <v>3</v>
      </c>
      <c r="E61" s="24"/>
    </row>
    <row r="62" spans="2:5" s="20" customFormat="1" ht="13.5">
      <c r="B62" s="21" t="s">
        <v>56</v>
      </c>
      <c r="C62" s="36">
        <f>(($K$47^2+4*$K$46*$K$48)^0.5+$K$47)/2</f>
        <v>1.0229345019139735</v>
      </c>
      <c r="D62" s="22" t="s">
        <v>3</v>
      </c>
      <c r="E62" s="22" t="s">
        <v>25</v>
      </c>
    </row>
    <row r="63" spans="2:5" s="20" customFormat="1" ht="13.5">
      <c r="B63" s="21" t="s">
        <v>57</v>
      </c>
      <c r="C63" s="36">
        <f>$C$11+$B$200*($C$62-$C$11)</f>
        <v>1.0130706019857927</v>
      </c>
      <c r="D63" s="22" t="s">
        <v>3</v>
      </c>
      <c r="E63" s="22"/>
    </row>
    <row r="64" spans="2:5" s="20" customFormat="1" ht="13.5">
      <c r="B64" s="21" t="s">
        <v>58</v>
      </c>
      <c r="C64" s="36">
        <f>$C$11+($B$200/2)*($C$62-$C$11)</f>
        <v>1.0065353009928963</v>
      </c>
      <c r="D64" s="22" t="s">
        <v>3</v>
      </c>
      <c r="E64" s="22"/>
    </row>
    <row r="65" spans="2:4" s="20" customFormat="1" ht="15">
      <c r="B65" s="19" t="s">
        <v>59</v>
      </c>
      <c r="C65" s="35">
        <f>$C$22*$C$23*$C$11</f>
        <v>5</v>
      </c>
      <c r="D65" s="20" t="s">
        <v>49</v>
      </c>
    </row>
    <row r="66" spans="2:4" s="20" customFormat="1" ht="15">
      <c r="B66" s="19" t="s">
        <v>60</v>
      </c>
      <c r="C66" s="35">
        <f>$C$22*$C$23*$C$62</f>
        <v>5.114672509569868</v>
      </c>
      <c r="D66" s="20" t="s">
        <v>49</v>
      </c>
    </row>
    <row r="67" spans="2:5" s="20" customFormat="1" ht="12">
      <c r="B67" s="40" t="s">
        <v>12</v>
      </c>
      <c r="C67" s="70">
        <f>1-$C$43/$C$12</f>
        <v>0.3991738806167493</v>
      </c>
      <c r="D67" s="28" t="s">
        <v>2</v>
      </c>
      <c r="E67" s="28" t="s">
        <v>180</v>
      </c>
    </row>
    <row r="68" spans="2:5" s="20" customFormat="1" ht="12">
      <c r="B68" s="40" t="s">
        <v>17</v>
      </c>
      <c r="C68" s="70">
        <f>$C$58/($C$57+$C$65)</f>
        <v>0.9070059543714569</v>
      </c>
      <c r="D68" s="28" t="s">
        <v>2</v>
      </c>
      <c r="E68" s="28" t="s">
        <v>61</v>
      </c>
    </row>
    <row r="69" s="20" customFormat="1" ht="12">
      <c r="H69" s="40"/>
    </row>
    <row r="70" spans="2:7" s="12" customFormat="1" ht="14.25">
      <c r="B70" s="12" t="s">
        <v>26</v>
      </c>
      <c r="E70" s="5"/>
      <c r="F70" s="10"/>
      <c r="G70" s="4"/>
    </row>
    <row r="71" spans="3:7" s="20" customFormat="1" ht="12">
      <c r="C71" s="45" t="s">
        <v>62</v>
      </c>
      <c r="D71" s="45" t="s">
        <v>63</v>
      </c>
      <c r="E71" s="49" t="s">
        <v>64</v>
      </c>
      <c r="F71" s="42"/>
      <c r="G71" s="28"/>
    </row>
    <row r="72" spans="3:10" s="20" customFormat="1" ht="12">
      <c r="C72" s="32" t="s">
        <v>65</v>
      </c>
      <c r="D72" s="32" t="s">
        <v>66</v>
      </c>
      <c r="E72" s="32" t="s">
        <v>67</v>
      </c>
      <c r="F72" s="42"/>
      <c r="G72" s="28"/>
      <c r="H72" s="40"/>
      <c r="I72" s="42"/>
      <c r="J72" s="28"/>
    </row>
    <row r="73" spans="2:10" s="20" customFormat="1" ht="15">
      <c r="B73" s="19" t="s">
        <v>68</v>
      </c>
      <c r="C73" s="29">
        <f>$C$14*1000</f>
        <v>0.03456</v>
      </c>
      <c r="D73" s="29">
        <f>$C$49*1000</f>
        <v>0.11087681161060908</v>
      </c>
      <c r="E73" s="27">
        <f>$C$51*1000</f>
        <v>0.16847028690601862</v>
      </c>
      <c r="F73" s="20" t="s">
        <v>41</v>
      </c>
      <c r="G73" s="28"/>
      <c r="I73" s="29"/>
      <c r="J73" s="28"/>
    </row>
    <row r="74" spans="2:10" s="20" customFormat="1" ht="15">
      <c r="B74" s="19" t="s">
        <v>69</v>
      </c>
      <c r="C74" s="35">
        <f>57.87*C$73</f>
        <v>1.9999871999999999</v>
      </c>
      <c r="D74" s="35">
        <f>57.87*D$73</f>
        <v>6.416441087905947</v>
      </c>
      <c r="E74" s="35">
        <f>57.87*E$73</f>
        <v>9.749375503251297</v>
      </c>
      <c r="F74" s="20" t="s">
        <v>42</v>
      </c>
      <c r="G74" s="28"/>
      <c r="J74" s="28"/>
    </row>
    <row r="75" spans="2:10" s="20" customFormat="1" ht="13.5">
      <c r="B75" s="19" t="s">
        <v>70</v>
      </c>
      <c r="C75" s="35">
        <f>(($K$50^2+4*$K$49*C$74)^0.5-$K$50)/(2*$K$49)</f>
        <v>2.0046529165156968</v>
      </c>
      <c r="D75" s="35">
        <f>(($K$50^2+4*$K$49*D$74)^0.5-$K$50)/(2*$K$49)</f>
        <v>6.409913224550473</v>
      </c>
      <c r="E75" s="35">
        <f>(($K$50^2+4*$K$49*E$74)^0.5-$K$50)/(2*$K$49)</f>
        <v>9.715093629819442</v>
      </c>
      <c r="F75" s="20" t="s">
        <v>71</v>
      </c>
      <c r="G75" s="28"/>
      <c r="H75" s="40"/>
      <c r="I75" s="43"/>
      <c r="J75" s="28"/>
    </row>
    <row r="76" spans="2:10" s="20" customFormat="1" ht="12">
      <c r="B76" s="19" t="s">
        <v>72</v>
      </c>
      <c r="C76" s="27">
        <f>(0.9383+3.463*10^-2*$I$11)*10^-3*C$75-(1.655+3.863*10^-2*$I$11)*10^-6*C$75^2-(1.344+3.16*10^-2*$I$11)*10^-9*C$75^3</f>
        <v>0.0036059450693487326</v>
      </c>
      <c r="D76" s="27">
        <f>(0.9383+3.463*10^-2*$I$11)*10^-3*D$75-(1.655+3.863*10^-2*$I$11)*10^-6*D$75^2-(1.344+3.16*10^-2*$I$11)*10^-9*D$75^3</f>
        <v>0.011455563211309416</v>
      </c>
      <c r="E76" s="27">
        <f>(0.9383+3.463*10^-2*$I$11)*10^-3*E$75-(1.655+3.863*10^-2*$I$11)*10^-6*E$75^2-(1.344+3.16*10^-2*$I$11)*10^-9*E$75^3</f>
        <v>0.01727720354949523</v>
      </c>
      <c r="F76" s="20" t="s">
        <v>73</v>
      </c>
      <c r="G76" s="22" t="s">
        <v>74</v>
      </c>
      <c r="H76" s="40"/>
      <c r="I76" s="43"/>
      <c r="J76" s="28"/>
    </row>
    <row r="77" spans="2:10" s="20" customFormat="1" ht="14.25">
      <c r="B77" s="40" t="s">
        <v>336</v>
      </c>
      <c r="C77" s="43">
        <f>$C$22/((1-$C$28)*C$76)</f>
        <v>14.999583203861942</v>
      </c>
      <c r="D77" s="43">
        <f>$C$22/((1-$C$28)*D$76)</f>
        <v>4.721520199273519</v>
      </c>
      <c r="E77" s="43">
        <f>$C$22/((1-$C$28)*E$76)</f>
        <v>3.1305803014534876</v>
      </c>
      <c r="F77" s="28" t="s">
        <v>324</v>
      </c>
      <c r="G77" s="28" t="s">
        <v>337</v>
      </c>
      <c r="H77" s="40"/>
      <c r="I77" s="43"/>
      <c r="J77" s="28"/>
    </row>
    <row r="78" spans="2:7" s="20" customFormat="1" ht="12">
      <c r="B78" s="19" t="s">
        <v>75</v>
      </c>
      <c r="C78" s="37">
        <f>0.5927+0.4355*C$75^-0.5-7.201*10^-5*C$75+3.503*10^-6*C$75^2</f>
        <v>0.9001571386371167</v>
      </c>
      <c r="D78" s="37">
        <f>0.5927+0.4355*D$75^-0.5-7.201*10^-5*D$75+3.503*10^-6*D$75^2</f>
        <v>0.7643956722660813</v>
      </c>
      <c r="E78" s="37">
        <f>0.5927+0.4355*E$75^-0.5-7.201*10^-5*E$75+3.503*10^-6*E$75^2</f>
        <v>0.7320529982597668</v>
      </c>
      <c r="F78" s="20" t="s">
        <v>2</v>
      </c>
      <c r="G78" s="20" t="s">
        <v>76</v>
      </c>
    </row>
    <row r="79" s="44" customFormat="1" ht="14.25"/>
    <row r="80" s="12" customFormat="1" ht="14.25">
      <c r="B80" s="12" t="s">
        <v>27</v>
      </c>
    </row>
    <row r="81" s="44" customFormat="1" ht="14.25">
      <c r="B81" s="20" t="s">
        <v>77</v>
      </c>
    </row>
    <row r="82" spans="2:4" s="20" customFormat="1" ht="15">
      <c r="B82" s="19" t="s">
        <v>78</v>
      </c>
      <c r="C82" s="34">
        <f>$C$12*10^3</f>
        <v>0.03456</v>
      </c>
      <c r="D82" s="20" t="s">
        <v>41</v>
      </c>
    </row>
    <row r="83" spans="2:4" s="20" customFormat="1" ht="15">
      <c r="B83" s="19" t="s">
        <v>79</v>
      </c>
      <c r="C83" s="35">
        <f>57.87*$C$82</f>
        <v>1.9999871999999999</v>
      </c>
      <c r="D83" s="20" t="s">
        <v>42</v>
      </c>
    </row>
    <row r="84" spans="2:4" s="20" customFormat="1" ht="13.5">
      <c r="B84" s="19" t="s">
        <v>80</v>
      </c>
      <c r="C84" s="35">
        <f>(($K$50^2+4*$K$49*$C$83)^0.5-$K$50)/(2*$K$49)</f>
        <v>2.0046529165156968</v>
      </c>
      <c r="D84" s="20" t="s">
        <v>71</v>
      </c>
    </row>
    <row r="85" spans="2:5" s="20" customFormat="1" ht="13.5">
      <c r="B85" s="19" t="s">
        <v>81</v>
      </c>
      <c r="C85" s="29">
        <f>(0.9383+3.463*10^-2*$I$11)*10^-3*$C$84-(1.655+3.863*10^-2*$I$11)*10^-6*$C$84^2-(1.344+3.16*10^-2*$I$11)*10^-9*$C$84^3</f>
        <v>0.0036059450693487326</v>
      </c>
      <c r="D85" s="20" t="s">
        <v>73</v>
      </c>
      <c r="E85" s="20" t="s">
        <v>82</v>
      </c>
    </row>
    <row r="86" spans="2:6" s="20" customFormat="1" ht="15">
      <c r="B86" s="40" t="s">
        <v>338</v>
      </c>
      <c r="C86" s="43">
        <f>$C$22/((1-$C$28)*$C$85)</f>
        <v>14.999583203861942</v>
      </c>
      <c r="D86" s="28" t="s">
        <v>324</v>
      </c>
      <c r="E86" s="28" t="s">
        <v>339</v>
      </c>
      <c r="F86" s="28"/>
    </row>
    <row r="87" spans="2:5" s="20" customFormat="1" ht="13.5">
      <c r="B87" s="19" t="s">
        <v>83</v>
      </c>
      <c r="C87" s="30">
        <f>0.5927+0.4355*$C$84^-0.5-7.201*10^-5*$C$84+3.503*10^-6*$C$84^2</f>
        <v>0.9001571386371167</v>
      </c>
      <c r="D87" s="20" t="s">
        <v>2</v>
      </c>
      <c r="E87" s="37" t="s">
        <v>76</v>
      </c>
    </row>
    <row r="88" s="20" customFormat="1" ht="12"/>
    <row r="89" s="20" customFormat="1" ht="12">
      <c r="B89" s="20" t="s">
        <v>84</v>
      </c>
    </row>
    <row r="90" spans="2:4" s="20" customFormat="1" ht="13.5">
      <c r="B90" s="19" t="s">
        <v>81</v>
      </c>
      <c r="C90" s="29">
        <f>$C$85</f>
        <v>0.0036059450693487326</v>
      </c>
      <c r="D90" s="20" t="s">
        <v>73</v>
      </c>
    </row>
    <row r="91" spans="2:4" s="20" customFormat="1" ht="12">
      <c r="B91" s="21" t="s">
        <v>72</v>
      </c>
      <c r="C91" s="27">
        <f>$C$76</f>
        <v>0.0036059450693487326</v>
      </c>
      <c r="D91" s="22" t="s">
        <v>73</v>
      </c>
    </row>
    <row r="92" spans="2:5" s="20" customFormat="1" ht="13.5">
      <c r="B92" s="19" t="s">
        <v>85</v>
      </c>
      <c r="C92" s="30">
        <f>10^(0.338+0.6386*LOG($C$90)+0.2961*(LOG($C$90))^2)</f>
        <v>3.5081914683610895</v>
      </c>
      <c r="D92" s="20" t="s">
        <v>2</v>
      </c>
      <c r="E92" s="22" t="s">
        <v>86</v>
      </c>
    </row>
    <row r="93" spans="2:4" s="20" customFormat="1" ht="13.5">
      <c r="B93" s="19" t="s">
        <v>87</v>
      </c>
      <c r="C93" s="30">
        <f>1-0.1359*LOG($C$91/$C$90)</f>
        <v>1</v>
      </c>
      <c r="D93" s="20" t="s">
        <v>2</v>
      </c>
    </row>
    <row r="94" spans="2:10" s="20" customFormat="1" ht="15">
      <c r="B94" s="40" t="s">
        <v>340</v>
      </c>
      <c r="C94" s="43">
        <f>$C$92*$C$93*$H$25</f>
        <v>19.014168255727352</v>
      </c>
      <c r="D94" s="28" t="s">
        <v>324</v>
      </c>
      <c r="E94" s="28" t="s">
        <v>341</v>
      </c>
      <c r="F94" s="28"/>
      <c r="G94" s="28"/>
      <c r="H94" s="63"/>
      <c r="J94" s="19"/>
    </row>
    <row r="95" s="20" customFormat="1" ht="12">
      <c r="D95" s="35"/>
    </row>
    <row r="96" s="12" customFormat="1" ht="18.75">
      <c r="B96" s="12" t="s">
        <v>28</v>
      </c>
    </row>
    <row r="97" s="20" customFormat="1" ht="12">
      <c r="B97" s="20" t="s">
        <v>166</v>
      </c>
    </row>
    <row r="98" spans="1:9" s="20" customFormat="1" ht="13.5">
      <c r="A98" s="45" t="s">
        <v>88</v>
      </c>
      <c r="B98" s="45" t="s">
        <v>89</v>
      </c>
      <c r="C98" s="45" t="s">
        <v>90</v>
      </c>
      <c r="D98" s="45" t="s">
        <v>91</v>
      </c>
      <c r="E98" s="45" t="s">
        <v>92</v>
      </c>
      <c r="F98" s="45" t="s">
        <v>93</v>
      </c>
      <c r="G98" s="45" t="s">
        <v>94</v>
      </c>
      <c r="H98" s="45" t="s">
        <v>95</v>
      </c>
      <c r="I98" s="45" t="s">
        <v>96</v>
      </c>
    </row>
    <row r="99" spans="2:9" s="20" customFormat="1" ht="14.25">
      <c r="B99" s="32" t="s">
        <v>2</v>
      </c>
      <c r="C99" s="32" t="s">
        <v>41</v>
      </c>
      <c r="D99" s="32" t="s">
        <v>42</v>
      </c>
      <c r="E99" s="32" t="s">
        <v>71</v>
      </c>
      <c r="F99" s="32" t="s">
        <v>73</v>
      </c>
      <c r="G99" s="32" t="s">
        <v>38</v>
      </c>
      <c r="H99" s="32"/>
      <c r="I99" s="32" t="s">
        <v>38</v>
      </c>
    </row>
    <row r="100" spans="2:9" s="20" customFormat="1" ht="12">
      <c r="B100" s="32"/>
      <c r="C100" s="32"/>
      <c r="D100" s="32"/>
      <c r="E100" s="32"/>
      <c r="F100" s="32"/>
      <c r="G100" s="32"/>
      <c r="H100" s="32"/>
      <c r="I100" s="32"/>
    </row>
    <row r="101" spans="1:9" s="20" customFormat="1" ht="12">
      <c r="A101" s="20">
        <v>0</v>
      </c>
      <c r="B101" s="20">
        <f>-3*$C$9</f>
        <v>-0.30000000000000004</v>
      </c>
      <c r="C101" s="34">
        <f aca="true" t="shared" si="0" ref="C101:C113">($C$12-(($C$56*$C$24)/($C$22*$I$12))*$C$16/($C$60*($B101+1)))*10^3</f>
        <v>0.014852215265550207</v>
      </c>
      <c r="D101" s="35">
        <f>57.87*$C101</f>
        <v>0.8594976974173905</v>
      </c>
      <c r="E101" s="35">
        <f aca="true" t="shared" si="1" ref="E101:E113">(($K$50^2+4*$K$49*$D101)^0.5-$K$50)/(2*$K$49)</f>
        <v>0.862252689074166</v>
      </c>
      <c r="F101" s="29">
        <f aca="true" t="shared" si="2" ref="F101:F113">(0.9383+3.463*10^-2*$I$11)*10^-3*$E101-(1.655+3.863*10^-2*$I$11)*10^-6*$E101^2-(1.344+3.16*10^-2*$I$11)*10^-9*$E101^3</f>
        <v>0.001553597121263189</v>
      </c>
      <c r="G101" s="35">
        <f aca="true" t="shared" si="3" ref="G101:G113">$C$22/((1-$C$28)*$F101)</f>
        <v>34.81447819127958</v>
      </c>
      <c r="H101" s="20">
        <f>3*$C$21/1000</f>
        <v>0.9</v>
      </c>
      <c r="I101" s="31">
        <f>$H101*$G101</f>
        <v>31.333030372151626</v>
      </c>
    </row>
    <row r="102" spans="1:9" s="20" customFormat="1" ht="12">
      <c r="A102" s="20">
        <v>1</v>
      </c>
      <c r="B102" s="20">
        <f>$B$101-$A102*($B$101/6)</f>
        <v>-0.25000000000000006</v>
      </c>
      <c r="C102" s="34">
        <f t="shared" si="0"/>
        <v>0.016166067581180193</v>
      </c>
      <c r="D102" s="35">
        <f aca="true" t="shared" si="4" ref="D102:D113">57.87*$C102</f>
        <v>0.9355303309228977</v>
      </c>
      <c r="E102" s="35">
        <f t="shared" si="1"/>
        <v>0.9384745301456975</v>
      </c>
      <c r="F102" s="29">
        <f t="shared" si="2"/>
        <v>0.001690745027464971</v>
      </c>
      <c r="G102" s="35">
        <f t="shared" si="3"/>
        <v>31.990437480303417</v>
      </c>
      <c r="H102" s="20">
        <f>9.2*$C$21/1000</f>
        <v>2.76</v>
      </c>
      <c r="I102" s="31">
        <f aca="true" t="shared" si="5" ref="I102:I113">$H102*$G102</f>
        <v>88.29360744563742</v>
      </c>
    </row>
    <row r="103" spans="1:9" s="20" customFormat="1" ht="12">
      <c r="A103" s="20">
        <v>2</v>
      </c>
      <c r="B103" s="20">
        <f>$B$101-$A103*($B$101/6)</f>
        <v>-0.2</v>
      </c>
      <c r="C103" s="34">
        <f t="shared" si="0"/>
        <v>0.01731568835735643</v>
      </c>
      <c r="D103" s="35">
        <f t="shared" si="4"/>
        <v>1.0020588852402164</v>
      </c>
      <c r="E103" s="35">
        <f t="shared" si="1"/>
        <v>1.0051613848288388</v>
      </c>
      <c r="F103" s="29">
        <f t="shared" si="2"/>
        <v>0.0018107113558713582</v>
      </c>
      <c r="G103" s="35">
        <f t="shared" si="3"/>
        <v>29.87095260703423</v>
      </c>
      <c r="H103" s="20">
        <f>27.9*$C$21/1000</f>
        <v>8.37</v>
      </c>
      <c r="I103" s="31">
        <f t="shared" si="5"/>
        <v>250.01987332087648</v>
      </c>
    </row>
    <row r="104" spans="1:9" s="20" customFormat="1" ht="12">
      <c r="A104" s="20">
        <v>3</v>
      </c>
      <c r="B104" s="20">
        <f aca="true" t="shared" si="6" ref="B104:B113">$B$101-$A104*($B$101/6)</f>
        <v>-0.15000000000000002</v>
      </c>
      <c r="C104" s="34">
        <f t="shared" si="0"/>
        <v>0.01833005963045311</v>
      </c>
      <c r="D104" s="35">
        <f t="shared" si="4"/>
        <v>1.0607605508143214</v>
      </c>
      <c r="E104" s="35">
        <f t="shared" si="1"/>
        <v>1.0639971046987924</v>
      </c>
      <c r="F104" s="29">
        <f t="shared" si="2"/>
        <v>0.0019165344817977789</v>
      </c>
      <c r="G104" s="35">
        <f t="shared" si="3"/>
        <v>28.221601859996714</v>
      </c>
      <c r="H104" s="20">
        <f>65.5*$C$21/1000</f>
        <v>19.65</v>
      </c>
      <c r="I104" s="31">
        <f t="shared" si="5"/>
        <v>554.5544765489353</v>
      </c>
    </row>
    <row r="105" spans="1:9" s="20" customFormat="1" ht="12">
      <c r="A105" s="20">
        <v>4</v>
      </c>
      <c r="B105" s="20">
        <f t="shared" si="6"/>
        <v>-0.1</v>
      </c>
      <c r="C105" s="34">
        <f t="shared" si="0"/>
        <v>0.019231722984316826</v>
      </c>
      <c r="D105" s="35">
        <f t="shared" si="4"/>
        <v>1.1129398091024147</v>
      </c>
      <c r="E105" s="35">
        <f t="shared" si="1"/>
        <v>1.1162910984451202</v>
      </c>
      <c r="F105" s="29">
        <f t="shared" si="2"/>
        <v>0.0020105762559014945</v>
      </c>
      <c r="G105" s="35">
        <f t="shared" si="3"/>
        <v>26.90157756389121</v>
      </c>
      <c r="H105" s="20">
        <f>121*$C$21/1000</f>
        <v>36.3</v>
      </c>
      <c r="I105" s="31">
        <f>$H105*$G105</f>
        <v>976.5272655692509</v>
      </c>
    </row>
    <row r="106" spans="1:9" s="20" customFormat="1" ht="12">
      <c r="A106" s="20">
        <v>5</v>
      </c>
      <c r="B106" s="20">
        <f t="shared" si="6"/>
        <v>-0.04999999999999999</v>
      </c>
      <c r="C106" s="34">
        <f t="shared" si="0"/>
        <v>0.020038474406194887</v>
      </c>
      <c r="D106" s="35">
        <f>57.87*$C106</f>
        <v>1.159626513886498</v>
      </c>
      <c r="E106" s="35">
        <f t="shared" si="1"/>
        <v>1.1630769327900685</v>
      </c>
      <c r="F106" s="29">
        <f t="shared" si="2"/>
        <v>0.0020947003688770297</v>
      </c>
      <c r="G106" s="35">
        <f t="shared" si="3"/>
        <v>25.821198057671836</v>
      </c>
      <c r="H106" s="20">
        <f>174.7*$C$21/1000</f>
        <v>52.41</v>
      </c>
      <c r="I106" s="31">
        <f t="shared" si="5"/>
        <v>1353.2889902025809</v>
      </c>
    </row>
    <row r="107" spans="1:9" s="20" customFormat="1" ht="12">
      <c r="A107" s="20">
        <v>6</v>
      </c>
      <c r="B107" s="20">
        <f t="shared" si="6"/>
        <v>0</v>
      </c>
      <c r="C107" s="34">
        <f t="shared" si="0"/>
        <v>0.020764550685885143</v>
      </c>
      <c r="D107" s="35">
        <f>57.87*$C107</f>
        <v>1.2016445481921731</v>
      </c>
      <c r="E107" s="35">
        <f t="shared" si="1"/>
        <v>1.2051813350647198</v>
      </c>
      <c r="F107" s="29">
        <f t="shared" si="2"/>
        <v>0.002170397112080306</v>
      </c>
      <c r="G107" s="35">
        <f t="shared" si="3"/>
        <v>24.92063447523181</v>
      </c>
      <c r="H107" s="20">
        <f>197.4*$C$21/1000</f>
        <v>59.22</v>
      </c>
      <c r="I107" s="31">
        <f t="shared" si="5"/>
        <v>1475.7999736232277</v>
      </c>
    </row>
    <row r="108" spans="1:9" s="20" customFormat="1" ht="12">
      <c r="A108" s="20">
        <v>7</v>
      </c>
      <c r="B108" s="20">
        <f t="shared" si="6"/>
        <v>0.050000000000000044</v>
      </c>
      <c r="C108" s="34">
        <f t="shared" si="0"/>
        <v>0.02142147684370014</v>
      </c>
      <c r="D108" s="35">
        <f t="shared" si="4"/>
        <v>1.239660864944927</v>
      </c>
      <c r="E108" s="35">
        <f t="shared" si="1"/>
        <v>1.2432734692979135</v>
      </c>
      <c r="F108" s="29">
        <f t="shared" si="2"/>
        <v>0.0022388724321773697</v>
      </c>
      <c r="G108" s="35">
        <f t="shared" si="3"/>
        <v>24.15844347310587</v>
      </c>
      <c r="H108" s="20">
        <f>174.7*$C$21/1000</f>
        <v>52.41</v>
      </c>
      <c r="I108" s="31">
        <f t="shared" si="5"/>
        <v>1266.1440224254786</v>
      </c>
    </row>
    <row r="109" spans="1:9" s="20" customFormat="1" ht="12">
      <c r="A109" s="20">
        <v>8</v>
      </c>
      <c r="B109" s="20">
        <f t="shared" si="6"/>
        <v>0.10000000000000003</v>
      </c>
      <c r="C109" s="34">
        <f t="shared" si="0"/>
        <v>0.022018682441713767</v>
      </c>
      <c r="D109" s="35">
        <f>57.87*$C109</f>
        <v>1.2742211529019756</v>
      </c>
      <c r="E109" s="35">
        <f t="shared" si="1"/>
        <v>1.2779007659150248</v>
      </c>
      <c r="F109" s="29">
        <f t="shared" si="2"/>
        <v>0.00230111265907379</v>
      </c>
      <c r="G109" s="35">
        <f t="shared" si="3"/>
        <v>23.505008710882763</v>
      </c>
      <c r="H109" s="20">
        <f>121*$C$21/1000</f>
        <v>36.3</v>
      </c>
      <c r="I109" s="31">
        <f t="shared" si="5"/>
        <v>853.2318162050442</v>
      </c>
    </row>
    <row r="110" spans="1:10" s="20" customFormat="1" ht="12">
      <c r="A110" s="20">
        <v>9</v>
      </c>
      <c r="B110" s="20">
        <f t="shared" si="6"/>
        <v>0.15000000000000002</v>
      </c>
      <c r="C110" s="34">
        <f t="shared" si="0"/>
        <v>0.022563957118160994</v>
      </c>
      <c r="D110" s="35">
        <f t="shared" si="4"/>
        <v>1.3057761984279768</v>
      </c>
      <c r="E110" s="35">
        <f t="shared" si="1"/>
        <v>1.309515399597731</v>
      </c>
      <c r="F110" s="29">
        <f t="shared" si="2"/>
        <v>0.0023579323222929624</v>
      </c>
      <c r="G110" s="35">
        <f t="shared" si="3"/>
        <v>22.938602853390925</v>
      </c>
      <c r="H110" s="20">
        <f>65.5*$C$21/1000</f>
        <v>19.65</v>
      </c>
      <c r="I110" s="31">
        <f t="shared" si="5"/>
        <v>450.74354606913164</v>
      </c>
      <c r="J110" s="19"/>
    </row>
    <row r="111" spans="1:9" s="20" customFormat="1" ht="12">
      <c r="A111" s="20">
        <v>10</v>
      </c>
      <c r="B111" s="20">
        <f t="shared" si="6"/>
        <v>0.20000000000000007</v>
      </c>
      <c r="C111" s="34">
        <f t="shared" si="0"/>
        <v>0.023063792238237624</v>
      </c>
      <c r="D111" s="35">
        <f t="shared" si="4"/>
        <v>1.3347016568268113</v>
      </c>
      <c r="E111" s="35">
        <f t="shared" si="1"/>
        <v>1.3384941443140101</v>
      </c>
      <c r="F111" s="29">
        <f t="shared" si="2"/>
        <v>0.0024100099956150074</v>
      </c>
      <c r="G111" s="35">
        <f t="shared" si="3"/>
        <v>22.442924798927844</v>
      </c>
      <c r="H111" s="20">
        <f>27.9*$C$21/1000</f>
        <v>8.37</v>
      </c>
      <c r="I111" s="31">
        <f t="shared" si="5"/>
        <v>187.84728056702605</v>
      </c>
    </row>
    <row r="112" spans="1:9" s="20" customFormat="1" ht="12">
      <c r="A112" s="20">
        <v>11</v>
      </c>
      <c r="B112" s="20">
        <f t="shared" si="6"/>
        <v>0.2500000000000001</v>
      </c>
      <c r="C112" s="34">
        <f t="shared" si="0"/>
        <v>0.023523640548708116</v>
      </c>
      <c r="D112" s="35">
        <f t="shared" si="4"/>
        <v>1.3613130785537386</v>
      </c>
      <c r="E112" s="35">
        <f t="shared" si="1"/>
        <v>1.3651534608154343</v>
      </c>
      <c r="F112" s="29">
        <f t="shared" si="2"/>
        <v>0.002457915526808098</v>
      </c>
      <c r="G112" s="35">
        <f t="shared" si="3"/>
        <v>22.005505277266973</v>
      </c>
      <c r="H112" s="20">
        <f>9.2*$C$21/1000</f>
        <v>2.76</v>
      </c>
      <c r="I112" s="31">
        <f t="shared" si="5"/>
        <v>60.73519456525684</v>
      </c>
    </row>
    <row r="113" spans="1:12" s="20" customFormat="1" ht="12">
      <c r="A113" s="20">
        <v>12</v>
      </c>
      <c r="B113" s="20">
        <f t="shared" si="6"/>
        <v>0.30000000000000004</v>
      </c>
      <c r="C113" s="34">
        <f t="shared" si="0"/>
        <v>0.02394811591221934</v>
      </c>
      <c r="D113" s="35">
        <f t="shared" si="4"/>
        <v>1.385877467840133</v>
      </c>
      <c r="E113" s="35">
        <f t="shared" si="1"/>
        <v>1.3897611007703217</v>
      </c>
      <c r="F113" s="29">
        <f t="shared" si="2"/>
        <v>0.002502130975008223</v>
      </c>
      <c r="G113" s="35">
        <f t="shared" si="3"/>
        <v>21.616643427738346</v>
      </c>
      <c r="H113" s="20">
        <f>3*$C$21/1000</f>
        <v>0.9</v>
      </c>
      <c r="I113" s="31">
        <f t="shared" si="5"/>
        <v>19.454979084964513</v>
      </c>
      <c r="J113" s="28" t="s">
        <v>342</v>
      </c>
      <c r="K113" s="28"/>
      <c r="L113" s="28"/>
    </row>
    <row r="114" spans="5:12" s="20" customFormat="1" ht="14.25">
      <c r="E114" s="31"/>
      <c r="H114" s="20">
        <f>SUM(H101:H113)</f>
        <v>299.99999999999994</v>
      </c>
      <c r="I114" s="31">
        <f>SUM(I101:I113)</f>
        <v>7567.974055999562</v>
      </c>
      <c r="J114" s="43">
        <f>$I$114/$C$21</f>
        <v>25.226580186665206</v>
      </c>
      <c r="K114" s="28" t="s">
        <v>324</v>
      </c>
      <c r="L114" s="28"/>
    </row>
    <row r="115" spans="8:9" s="20" customFormat="1" ht="12">
      <c r="H115" s="46"/>
      <c r="I115" s="31"/>
    </row>
    <row r="116" spans="2:5" s="20" customFormat="1" ht="12">
      <c r="B116" s="20" t="s">
        <v>97</v>
      </c>
      <c r="E116" s="20" t="s">
        <v>98</v>
      </c>
    </row>
    <row r="117" spans="1:8" s="20" customFormat="1" ht="15">
      <c r="A117" s="45" t="s">
        <v>88</v>
      </c>
      <c r="B117" s="45" t="s">
        <v>99</v>
      </c>
      <c r="C117" s="45" t="s">
        <v>255</v>
      </c>
      <c r="D117" s="54"/>
      <c r="E117" s="45" t="s">
        <v>256</v>
      </c>
      <c r="F117" s="45" t="s">
        <v>257</v>
      </c>
      <c r="G117" s="45" t="s">
        <v>100</v>
      </c>
      <c r="H117" s="45" t="s">
        <v>258</v>
      </c>
    </row>
    <row r="118" spans="2:8" s="20" customFormat="1" ht="13.5">
      <c r="B118" s="32" t="s">
        <v>101</v>
      </c>
      <c r="C118" s="32" t="s">
        <v>259</v>
      </c>
      <c r="D118" s="32"/>
      <c r="E118" s="45"/>
      <c r="F118" s="32"/>
      <c r="G118" s="32"/>
      <c r="H118" s="55"/>
    </row>
    <row r="119" spans="2:8" s="20" customFormat="1" ht="14.25">
      <c r="B119" s="32"/>
      <c r="C119" s="45"/>
      <c r="D119" s="49"/>
      <c r="E119" s="32" t="s">
        <v>101</v>
      </c>
      <c r="F119" s="32" t="s">
        <v>101</v>
      </c>
      <c r="G119" s="32" t="s">
        <v>102</v>
      </c>
      <c r="H119" s="32" t="s">
        <v>102</v>
      </c>
    </row>
    <row r="120" spans="1:8" s="20" customFormat="1" ht="12">
      <c r="A120" s="20">
        <v>0</v>
      </c>
      <c r="B120" s="30">
        <f>0.5927+0.4355*$E101^-0.5-7.201*10^-5*$E101+3.503*10^-6*$E101^2</f>
        <v>1.06163839470094</v>
      </c>
      <c r="C120" s="47">
        <f aca="true" t="shared" si="7" ref="C120:C132">$H101*LN(($E$78*$E$73)/($B120*$C101))</f>
        <v>1.851205166368125</v>
      </c>
      <c r="D120" s="22"/>
      <c r="E120" s="30">
        <f>10^(0.338+0.6386*LOG($F101)+0.2961*(LOG($F101))^2)</f>
        <v>7.589221480438685</v>
      </c>
      <c r="F120" s="37">
        <f>1-0.1359*LOG($E$76/$F101)</f>
        <v>0.8578302477875871</v>
      </c>
      <c r="G120" s="35">
        <f aca="true" t="shared" si="8" ref="G120:G132">$E120*$F120*$H$25</f>
        <v>35.28520359178288</v>
      </c>
      <c r="H120" s="31">
        <f aca="true" t="shared" si="9" ref="H120:H132">$H101*$G120</f>
        <v>31.756683232604594</v>
      </c>
    </row>
    <row r="121" spans="1:8" s="20" customFormat="1" ht="12">
      <c r="A121" s="20">
        <v>1</v>
      </c>
      <c r="B121" s="30">
        <f aca="true" t="shared" si="10" ref="B121:B132">0.5927+0.4355*$E102^-0.5-7.201*10^-5*$E102+3.503*10^-6*$E102^2</f>
        <v>1.0421843795278742</v>
      </c>
      <c r="C121" s="47">
        <f t="shared" si="7"/>
        <v>5.494121419184147</v>
      </c>
      <c r="D121" s="48"/>
      <c r="E121" s="30">
        <f aca="true" t="shared" si="11" ref="E121:E132">10^(0.338+0.6386*LOG($F102)+0.2961*(LOG($F102))^2)</f>
        <v>6.965464974108539</v>
      </c>
      <c r="F121" s="37">
        <f aca="true" t="shared" si="12" ref="F121:F132">1-0.1359*LOG($E$76/$F102)</f>
        <v>0.8628231745106326</v>
      </c>
      <c r="G121" s="35">
        <f t="shared" si="8"/>
        <v>32.57361497031381</v>
      </c>
      <c r="H121" s="31">
        <f t="shared" si="9"/>
        <v>89.90317731806611</v>
      </c>
    </row>
    <row r="122" spans="1:8" s="20" customFormat="1" ht="12">
      <c r="A122" s="20">
        <v>2</v>
      </c>
      <c r="B122" s="30">
        <f t="shared" si="10"/>
        <v>1.027011598035164</v>
      </c>
      <c r="C122" s="47">
        <f t="shared" si="7"/>
        <v>16.20926561301995</v>
      </c>
      <c r="D122" s="48"/>
      <c r="E122" s="30">
        <f>10^(0.338+0.6386*LOG($F103)+0.2961*(LOG($F103))^2)</f>
        <v>6.506600650352344</v>
      </c>
      <c r="F122" s="37">
        <f>1-0.1359*LOG($E$76/$F103)</f>
        <v>0.8668690678773262</v>
      </c>
      <c r="G122" s="35">
        <f t="shared" si="8"/>
        <v>30.570440969166924</v>
      </c>
      <c r="H122" s="31">
        <f t="shared" si="9"/>
        <v>255.87459091192713</v>
      </c>
    </row>
    <row r="123" spans="1:8" s="20" customFormat="1" ht="12">
      <c r="A123" s="20">
        <v>3</v>
      </c>
      <c r="B123" s="30">
        <f>0.5927+0.4355*$E104^-0.5-7.201*10^-5*$E104+3.503*10^-6*$E104^2</f>
        <v>1.0148270627141014</v>
      </c>
      <c r="C123" s="47">
        <f t="shared" si="7"/>
        <v>37.169871192302935</v>
      </c>
      <c r="D123" s="48"/>
      <c r="E123" s="30">
        <f>10^(0.338+0.6386*LOG($F104)+0.2961*(LOG($F104))^2)</f>
        <v>6.155020174186966</v>
      </c>
      <c r="F123" s="37">
        <f t="shared" si="12"/>
        <v>0.8702213691816406</v>
      </c>
      <c r="G123" s="35">
        <f t="shared" si="8"/>
        <v>29.030416651758095</v>
      </c>
      <c r="H123" s="31">
        <f t="shared" si="9"/>
        <v>570.4476872070466</v>
      </c>
    </row>
    <row r="124" spans="1:8" s="20" customFormat="1" ht="12">
      <c r="A124" s="20">
        <v>4</v>
      </c>
      <c r="B124" s="30">
        <f t="shared" si="10"/>
        <v>1.0048158575993007</v>
      </c>
      <c r="C124" s="47">
        <f t="shared" si="7"/>
        <v>67.2817442432711</v>
      </c>
      <c r="D124" s="48"/>
      <c r="E124" s="30">
        <f>10^(0.338+0.6386*LOG($F105)+0.2961*(LOG($F105))^2)</f>
        <v>5.8771044388622835</v>
      </c>
      <c r="F124" s="37">
        <f t="shared" si="12"/>
        <v>0.8730486208265035</v>
      </c>
      <c r="G124" s="35">
        <f t="shared" si="8"/>
        <v>27.8096730870711</v>
      </c>
      <c r="H124" s="31">
        <f t="shared" si="9"/>
        <v>1009.4911330606809</v>
      </c>
    </row>
    <row r="125" spans="1:8" s="20" customFormat="1" ht="12">
      <c r="A125" s="20">
        <v>5</v>
      </c>
      <c r="B125" s="30">
        <f t="shared" si="10"/>
        <v>0.9964373718783808</v>
      </c>
      <c r="C125" s="47">
        <f t="shared" si="7"/>
        <v>95.42665387805508</v>
      </c>
      <c r="D125" s="48"/>
      <c r="E125" s="30">
        <f t="shared" si="11"/>
        <v>5.651931456410062</v>
      </c>
      <c r="F125" s="37">
        <f>1-0.1359*LOG($E$76/$F106)</f>
        <v>0.875467825620898</v>
      </c>
      <c r="G125" s="35">
        <f t="shared" si="8"/>
        <v>26.818292354145314</v>
      </c>
      <c r="H125" s="31">
        <f t="shared" si="9"/>
        <v>1405.5467022807559</v>
      </c>
    </row>
    <row r="126" spans="1:8" s="20" customFormat="1" ht="12">
      <c r="A126" s="20">
        <v>6</v>
      </c>
      <c r="B126" s="30">
        <f>0.5927+0.4355*$E107^-0.5-7.201*10^-5*$E107+3.503*10^-6*$E107^2</f>
        <v>0.989318083966207</v>
      </c>
      <c r="C126" s="47">
        <f t="shared" si="7"/>
        <v>106.14291774216423</v>
      </c>
      <c r="D126" s="48"/>
      <c r="E126" s="30">
        <f>10^(0.338+0.6386*LOG($F107)+0.2961*(LOG($F107))^2)</f>
        <v>5.465806703770241</v>
      </c>
      <c r="F126" s="37">
        <f>1-0.1359*LOG($E$76/$F107)</f>
        <v>0.8775630358341809</v>
      </c>
      <c r="G126" s="35">
        <f t="shared" si="8"/>
        <v>25.99720360071971</v>
      </c>
      <c r="H126" s="31">
        <f t="shared" si="9"/>
        <v>1539.5543972346213</v>
      </c>
    </row>
    <row r="127" spans="1:8" s="20" customFormat="1" ht="12">
      <c r="A127" s="20">
        <v>7</v>
      </c>
      <c r="B127" s="30">
        <f t="shared" si="10"/>
        <v>0.9831912326503397</v>
      </c>
      <c r="C127" s="47">
        <f t="shared" si="7"/>
        <v>92.63020223062075</v>
      </c>
      <c r="D127" s="48"/>
      <c r="E127" s="30">
        <f t="shared" si="11"/>
        <v>5.309393752467949</v>
      </c>
      <c r="F127" s="37">
        <f>1-0.1359*LOG($E$76/$F108)</f>
        <v>0.8793963466630037</v>
      </c>
      <c r="G127" s="35">
        <f t="shared" si="8"/>
        <v>25.306007715642362</v>
      </c>
      <c r="H127" s="31">
        <f t="shared" si="9"/>
        <v>1326.287864376816</v>
      </c>
    </row>
    <row r="128" spans="1:8" s="20" customFormat="1" ht="12">
      <c r="A128" s="20">
        <v>8</v>
      </c>
      <c r="B128" s="30">
        <f t="shared" si="10"/>
        <v>0.977860990418739</v>
      </c>
      <c r="C128" s="47">
        <f t="shared" si="7"/>
        <v>63.35633170544308</v>
      </c>
      <c r="D128" s="48"/>
      <c r="E128" s="30">
        <f>10^(0.338+0.6386*LOG($F109)+0.2961*(LOG($F109))^2)</f>
        <v>5.17611007626471</v>
      </c>
      <c r="F128" s="37">
        <f t="shared" si="12"/>
        <v>0.8810147162723767</v>
      </c>
      <c r="G128" s="35">
        <f t="shared" si="8"/>
        <v>24.71614366810695</v>
      </c>
      <c r="H128" s="31">
        <f t="shared" si="9"/>
        <v>897.1960151522823</v>
      </c>
    </row>
    <row r="129" spans="1:8" s="20" customFormat="1" ht="12">
      <c r="A129" s="20">
        <v>9</v>
      </c>
      <c r="B129" s="30">
        <f t="shared" si="10"/>
        <v>0.9731802227424783</v>
      </c>
      <c r="C129" s="47">
        <f t="shared" si="7"/>
        <v>33.9097928684217</v>
      </c>
      <c r="D129" s="48"/>
      <c r="E129" s="30">
        <f t="shared" si="11"/>
        <v>5.0611822739854695</v>
      </c>
      <c r="F129" s="37">
        <f t="shared" si="12"/>
        <v>0.8824543666915508</v>
      </c>
      <c r="G129" s="35">
        <f t="shared" si="8"/>
        <v>24.20685001984344</v>
      </c>
      <c r="H129" s="31">
        <f t="shared" si="9"/>
        <v>475.6646028899236</v>
      </c>
    </row>
    <row r="130" spans="1:9" s="20" customFormat="1" ht="12">
      <c r="A130" s="20">
        <v>10</v>
      </c>
      <c r="B130" s="30">
        <f t="shared" si="10"/>
        <v>0.9690361585096375</v>
      </c>
      <c r="C130" s="47">
        <f t="shared" si="7"/>
        <v>14.296348619280243</v>
      </c>
      <c r="D130" s="48"/>
      <c r="E130" s="30">
        <f t="shared" si="11"/>
        <v>4.961064975691842</v>
      </c>
      <c r="F130" s="37">
        <f t="shared" si="12"/>
        <v>0.8837437190391363</v>
      </c>
      <c r="G130" s="35">
        <f t="shared" si="8"/>
        <v>23.76267344741722</v>
      </c>
      <c r="H130" s="31">
        <f t="shared" si="9"/>
        <v>198.89357675488213</v>
      </c>
      <c r="I130" s="19"/>
    </row>
    <row r="131" spans="1:10" s="20" customFormat="1" ht="12">
      <c r="A131" s="20">
        <v>11</v>
      </c>
      <c r="B131" s="30">
        <f t="shared" si="10"/>
        <v>0.9653408608823479</v>
      </c>
      <c r="C131" s="47">
        <f t="shared" si="7"/>
        <v>4.670265413370087</v>
      </c>
      <c r="D131" s="48"/>
      <c r="E131" s="30">
        <f t="shared" si="11"/>
        <v>4.873070056399075</v>
      </c>
      <c r="F131" s="37">
        <f t="shared" si="12"/>
        <v>0.8849054070822365</v>
      </c>
      <c r="G131" s="35">
        <f t="shared" si="8"/>
        <v>23.371874646916005</v>
      </c>
      <c r="H131" s="31">
        <f t="shared" si="9"/>
        <v>64.50637402548817</v>
      </c>
      <c r="J131" s="63"/>
    </row>
    <row r="132" spans="1:11" s="20" customFormat="1" ht="12">
      <c r="A132" s="20">
        <v>12</v>
      </c>
      <c r="B132" s="30">
        <f t="shared" si="10"/>
        <v>0.9620247152916731</v>
      </c>
      <c r="C132" s="47">
        <f t="shared" si="7"/>
        <v>1.5099142622575994</v>
      </c>
      <c r="D132" s="48"/>
      <c r="E132" s="30">
        <f t="shared" si="11"/>
        <v>4.795122462358274</v>
      </c>
      <c r="F132" s="37">
        <f t="shared" si="12"/>
        <v>0.8859576924982601</v>
      </c>
      <c r="G132" s="35">
        <f t="shared" si="8"/>
        <v>23.025376006983926</v>
      </c>
      <c r="H132" s="31">
        <f t="shared" si="9"/>
        <v>20.722838406285533</v>
      </c>
      <c r="I132" s="28" t="s">
        <v>343</v>
      </c>
      <c r="J132" s="28"/>
      <c r="K132" s="28"/>
    </row>
    <row r="133" spans="3:11" s="20" customFormat="1" ht="14.25">
      <c r="C133" s="47">
        <f>SUM(C120:C132)</f>
        <v>539.948634353759</v>
      </c>
      <c r="H133" s="31">
        <f>SUM(H120:H132)</f>
        <v>7885.845642851381</v>
      </c>
      <c r="I133" s="43">
        <f>$H$133/$C$21</f>
        <v>26.286152142837935</v>
      </c>
      <c r="J133" s="28" t="s">
        <v>324</v>
      </c>
      <c r="K133" s="28"/>
    </row>
    <row r="134" s="20" customFormat="1" ht="12"/>
    <row r="135" s="12" customFormat="1" ht="18.75">
      <c r="B135" s="12" t="s">
        <v>29</v>
      </c>
    </row>
    <row r="136" spans="6:11" s="20" customFormat="1" ht="12">
      <c r="F136" s="28" t="s">
        <v>344</v>
      </c>
      <c r="G136" s="28" t="s">
        <v>345</v>
      </c>
      <c r="H136" s="28" t="s">
        <v>346</v>
      </c>
      <c r="I136" s="28" t="s">
        <v>354</v>
      </c>
      <c r="J136" s="28"/>
      <c r="K136" s="28"/>
    </row>
    <row r="137" spans="2:11" s="32" customFormat="1" ht="13.5">
      <c r="B137" s="32" t="s">
        <v>103</v>
      </c>
      <c r="C137" s="32" t="s">
        <v>103</v>
      </c>
      <c r="D137" s="32" t="s">
        <v>104</v>
      </c>
      <c r="E137" s="32" t="s">
        <v>104</v>
      </c>
      <c r="F137" s="99" t="s">
        <v>347</v>
      </c>
      <c r="G137" s="100" t="s">
        <v>348</v>
      </c>
      <c r="H137" s="100" t="s">
        <v>349</v>
      </c>
      <c r="I137" s="99" t="s">
        <v>355</v>
      </c>
      <c r="J137" s="100"/>
      <c r="K137" s="100"/>
    </row>
    <row r="138" spans="2:11" s="32" customFormat="1" ht="12">
      <c r="B138" s="32" t="s">
        <v>273</v>
      </c>
      <c r="C138" s="32" t="s">
        <v>274</v>
      </c>
      <c r="D138" s="32" t="s">
        <v>273</v>
      </c>
      <c r="E138" s="32" t="s">
        <v>276</v>
      </c>
      <c r="F138" s="100"/>
      <c r="G138" s="100"/>
      <c r="H138" s="100"/>
      <c r="I138" s="100"/>
      <c r="J138" s="100"/>
      <c r="K138" s="100"/>
    </row>
    <row r="139" spans="2:11" s="32" customFormat="1" ht="15">
      <c r="B139" s="32" t="s">
        <v>105</v>
      </c>
      <c r="C139" s="32" t="s">
        <v>106</v>
      </c>
      <c r="D139" s="32" t="s">
        <v>107</v>
      </c>
      <c r="E139" s="32" t="s">
        <v>108</v>
      </c>
      <c r="F139" s="100" t="s">
        <v>350</v>
      </c>
      <c r="G139" s="100" t="s">
        <v>110</v>
      </c>
      <c r="H139" s="100" t="s">
        <v>110</v>
      </c>
      <c r="I139" s="100" t="s">
        <v>110</v>
      </c>
      <c r="J139" s="100"/>
      <c r="K139" s="100"/>
    </row>
    <row r="140" spans="2:11" s="20" customFormat="1" ht="14.25">
      <c r="B140" s="32" t="s">
        <v>38</v>
      </c>
      <c r="C140" s="32" t="s">
        <v>1</v>
      </c>
      <c r="D140" s="32" t="s">
        <v>38</v>
      </c>
      <c r="E140" s="32" t="s">
        <v>1</v>
      </c>
      <c r="F140" s="113">
        <f>$C$16*$I$200</f>
        <v>0.005779701167277551</v>
      </c>
      <c r="G140" s="70">
        <f>$D$141*$F$140/$C$21</f>
        <v>0.3158220177970522</v>
      </c>
      <c r="H140" s="70">
        <f>$E$141/$C$21</f>
        <v>0.08417219883151293</v>
      </c>
      <c r="I140" s="70">
        <f>$G$140+$H$140</f>
        <v>0.39999421662856516</v>
      </c>
      <c r="J140" s="28"/>
      <c r="K140" s="28"/>
    </row>
    <row r="141" spans="2:11" s="20" customFormat="1" ht="13.5">
      <c r="B141" s="31">
        <f>($C$86+$C$77+$C$94)*$C$21</f>
        <v>14704.000399035369</v>
      </c>
      <c r="C141" s="31">
        <f>2*($H$23-1)*$I$13*$C$21*LN(($C$78*$C$73)/($C$87*$C$82))</f>
        <v>0</v>
      </c>
      <c r="D141" s="31">
        <f>$I$114+$E$77*$C$21+$H$133</f>
        <v>16392.99378928699</v>
      </c>
      <c r="E141" s="31">
        <f>2*($H$23-1)*$I$13*$C$133</f>
        <v>25.251659649453877</v>
      </c>
      <c r="F141" s="99" t="s">
        <v>351</v>
      </c>
      <c r="G141" s="100" t="s">
        <v>352</v>
      </c>
      <c r="H141" s="100" t="s">
        <v>353</v>
      </c>
      <c r="I141" s="99" t="s">
        <v>356</v>
      </c>
      <c r="J141" s="28"/>
      <c r="K141" s="28"/>
    </row>
    <row r="142" spans="2:11" s="20" customFormat="1" ht="12">
      <c r="B142" s="31"/>
      <c r="C142" s="31"/>
      <c r="D142" s="31"/>
      <c r="E142" s="31"/>
      <c r="F142" s="100"/>
      <c r="G142" s="100"/>
      <c r="H142" s="100"/>
      <c r="I142" s="100"/>
      <c r="J142" s="101" t="s">
        <v>357</v>
      </c>
      <c r="K142" s="28"/>
    </row>
    <row r="143" spans="6:11" s="20" customFormat="1" ht="14.25">
      <c r="F143" s="100" t="s">
        <v>350</v>
      </c>
      <c r="G143" s="100" t="s">
        <v>110</v>
      </c>
      <c r="H143" s="100" t="s">
        <v>110</v>
      </c>
      <c r="I143" s="100" t="s">
        <v>110</v>
      </c>
      <c r="J143" s="100" t="s">
        <v>358</v>
      </c>
      <c r="K143" s="28"/>
    </row>
    <row r="144" spans="6:11" s="20" customFormat="1" ht="12">
      <c r="F144" s="113">
        <f>$C$16*$J$200</f>
        <v>0.008160926396359581</v>
      </c>
      <c r="G144" s="70">
        <f>$B$141*$F$144/$C$21</f>
        <v>0.3999942166285652</v>
      </c>
      <c r="H144" s="70">
        <f>$C$141/$C$21</f>
        <v>0</v>
      </c>
      <c r="I144" s="70">
        <f>$G$144+$H$144</f>
        <v>0.3999942166285652</v>
      </c>
      <c r="J144" s="98">
        <f>($I$144*$C$16*$C$25/$C$58)*(1000000/(3600*1000))</f>
        <v>0.16312732676476924</v>
      </c>
      <c r="K144" s="28"/>
    </row>
    <row r="145" spans="7:10" s="20" customFormat="1" ht="12">
      <c r="G145" s="34"/>
      <c r="H145" s="30"/>
      <c r="I145" s="30"/>
      <c r="J145" s="37"/>
    </row>
    <row r="146" spans="2:9" s="32" customFormat="1" ht="13.5">
      <c r="B146" s="32" t="s">
        <v>111</v>
      </c>
      <c r="C146" s="32" t="s">
        <v>260</v>
      </c>
      <c r="D146" s="32" t="s">
        <v>261</v>
      </c>
      <c r="E146" s="32" t="s">
        <v>262</v>
      </c>
      <c r="F146" s="32" t="s">
        <v>263</v>
      </c>
      <c r="G146" s="32" t="s">
        <v>112</v>
      </c>
      <c r="H146" s="32" t="s">
        <v>265</v>
      </c>
      <c r="I146" s="32" t="s">
        <v>264</v>
      </c>
    </row>
    <row r="147" spans="2:9" s="32" customFormat="1" ht="14.25">
      <c r="B147" s="32" t="s">
        <v>2</v>
      </c>
      <c r="C147" s="32" t="s">
        <v>109</v>
      </c>
      <c r="D147" s="32" t="s">
        <v>109</v>
      </c>
      <c r="E147" s="32" t="s">
        <v>109</v>
      </c>
      <c r="F147" s="32" t="s">
        <v>109</v>
      </c>
      <c r="G147" s="32" t="s">
        <v>109</v>
      </c>
      <c r="H147" s="32" t="s">
        <v>109</v>
      </c>
      <c r="I147" s="32" t="s">
        <v>109</v>
      </c>
    </row>
    <row r="148" spans="2:10" s="20" customFormat="1" ht="12">
      <c r="B148" s="34">
        <f>$D$141/$B$141</f>
        <v>1.1148662503003213</v>
      </c>
      <c r="C148" s="34">
        <f>-($C$141-$E$141)/$B$141</f>
        <v>0.0017173326281404665</v>
      </c>
      <c r="D148" s="34">
        <f>$C$16-$C$148</f>
        <v>0.005606667371859534</v>
      </c>
      <c r="E148" s="34">
        <f>-2*(3*$C$16-2*$C$148)</f>
        <v>-0.03707466948743813</v>
      </c>
      <c r="F148" s="34">
        <f>3*(2*$C$16-$C$148)</f>
        <v>0.038792002115578594</v>
      </c>
      <c r="G148" s="34">
        <f>$B$148*$C$16</f>
        <v>0.008165280417199553</v>
      </c>
      <c r="H148" s="34">
        <f>-2*(2*$B$148+1)*$C$16</f>
        <v>-0.047309121668798214</v>
      </c>
      <c r="I148" s="34">
        <f>3*($B$148+1)*$C$16</f>
        <v>0.046467841251598654</v>
      </c>
      <c r="J148" s="34"/>
    </row>
    <row r="149" spans="3:10" s="20" customFormat="1" ht="12">
      <c r="C149" s="34"/>
      <c r="D149" s="34"/>
      <c r="H149" s="40"/>
      <c r="I149" s="28"/>
      <c r="J149" s="28"/>
    </row>
    <row r="150" s="12" customFormat="1" ht="18.75">
      <c r="B150" s="12" t="s">
        <v>113</v>
      </c>
    </row>
    <row r="151" s="20" customFormat="1" ht="12">
      <c r="B151" s="20" t="s">
        <v>114</v>
      </c>
    </row>
    <row r="152" spans="2:9" s="32" customFormat="1" ht="13.5">
      <c r="B152" s="45" t="s">
        <v>89</v>
      </c>
      <c r="C152" s="45" t="s">
        <v>115</v>
      </c>
      <c r="D152" s="49" t="s">
        <v>116</v>
      </c>
      <c r="E152" s="49" t="s">
        <v>117</v>
      </c>
      <c r="F152" s="45" t="s">
        <v>118</v>
      </c>
      <c r="G152" s="45" t="s">
        <v>119</v>
      </c>
      <c r="H152" s="45" t="s">
        <v>95</v>
      </c>
      <c r="I152" s="45" t="s">
        <v>120</v>
      </c>
    </row>
    <row r="153" spans="2:9" s="32" customFormat="1" ht="14.25">
      <c r="B153" s="32" t="s">
        <v>2</v>
      </c>
      <c r="C153" s="32" t="s">
        <v>41</v>
      </c>
      <c r="D153" s="56" t="s">
        <v>121</v>
      </c>
      <c r="E153" s="56" t="s">
        <v>71</v>
      </c>
      <c r="F153" s="32" t="s">
        <v>73</v>
      </c>
      <c r="G153" s="32" t="s">
        <v>38</v>
      </c>
      <c r="I153" s="32" t="s">
        <v>38</v>
      </c>
    </row>
    <row r="154" spans="1:9" s="20" customFormat="1" ht="12">
      <c r="A154" s="20">
        <v>0</v>
      </c>
      <c r="B154" s="20">
        <f>-3*$C$9</f>
        <v>-0.30000000000000004</v>
      </c>
      <c r="C154" s="34">
        <f aca="true" t="shared" si="13" ref="C154:C166">($C$12-(($C$56*$C$24)/($C$22*$I$12))*($F$200*$B$200+($G$200/2)*$B$200^2+($H$200/3)*$B$200^3)/($C$61*($B154+1)))*10^3</f>
        <v>0.02251831753513582</v>
      </c>
      <c r="D154" s="65">
        <f>57.87*$C154</f>
        <v>1.3031350357583098</v>
      </c>
      <c r="E154" s="66">
        <f aca="true" t="shared" si="14" ref="E154:E166">(($K$50^2+4*$K$49*$D154)^0.5-$K$50)/(2*$K$49)</f>
        <v>1.3068693077182334</v>
      </c>
      <c r="F154" s="29">
        <f aca="true" t="shared" si="15" ref="F154:F166">(0.9383+3.463*10^-2*$I$11)*10^-3*$E154-(1.655+3.863*10^-2*$I$11)*10^-6*$E154^2-(1.344+3.16*10^-2*$I$11)*10^-9*$E154^3</f>
        <v>0.0023531768131903395</v>
      </c>
      <c r="G154" s="35">
        <f aca="true" t="shared" si="16" ref="G154:G166">$C$22/((1-$C$28)*$F154)</f>
        <v>22.984959223239247</v>
      </c>
      <c r="H154" s="20">
        <f>3*$C$21/1000</f>
        <v>0.9</v>
      </c>
      <c r="I154" s="31">
        <f aca="true" t="shared" si="17" ref="I154:I166">$H154*$G154</f>
        <v>20.686463300915324</v>
      </c>
    </row>
    <row r="155" spans="1:9" s="20" customFormat="1" ht="12">
      <c r="A155" s="20">
        <v>1</v>
      </c>
      <c r="B155" s="20">
        <f>$B$101-$A155*($B$101/6)</f>
        <v>-0.25000000000000006</v>
      </c>
      <c r="C155" s="34">
        <f t="shared" si="13"/>
        <v>0.023321096366126764</v>
      </c>
      <c r="D155" s="65">
        <f>57.87*$C155</f>
        <v>1.3495918467077557</v>
      </c>
      <c r="E155" s="66">
        <f t="shared" si="14"/>
        <v>1.353411266575262</v>
      </c>
      <c r="F155" s="29">
        <f t="shared" si="15"/>
        <v>0.002436815819543193</v>
      </c>
      <c r="G155" s="35">
        <f t="shared" si="16"/>
        <v>22.196044798490902</v>
      </c>
      <c r="H155" s="20">
        <f>9.2*$C$21/1000</f>
        <v>2.76</v>
      </c>
      <c r="I155" s="31">
        <f t="shared" si="17"/>
        <v>61.26108364383489</v>
      </c>
    </row>
    <row r="156" spans="1:9" s="20" customFormat="1" ht="12">
      <c r="A156" s="20">
        <v>2</v>
      </c>
      <c r="B156" s="20">
        <f aca="true" t="shared" si="18" ref="B156:B166">$B$101-$A156*($B$101/6)</f>
        <v>-0.2</v>
      </c>
      <c r="C156" s="34">
        <f t="shared" si="13"/>
        <v>0.024023527843243842</v>
      </c>
      <c r="D156" s="65">
        <f>57.87*$C156</f>
        <v>1.390241556288521</v>
      </c>
      <c r="E156" s="66">
        <f t="shared" si="14"/>
        <v>1.3941327767050793</v>
      </c>
      <c r="F156" s="29">
        <f t="shared" si="15"/>
        <v>0.002509985747485892</v>
      </c>
      <c r="G156" s="35">
        <f t="shared" si="16"/>
        <v>21.548996105029097</v>
      </c>
      <c r="H156" s="20">
        <f>27.9*$C$21/1000</f>
        <v>8.37</v>
      </c>
      <c r="I156" s="31">
        <f t="shared" si="17"/>
        <v>180.36509739909351</v>
      </c>
    </row>
    <row r="157" spans="1:9" s="20" customFormat="1" ht="12">
      <c r="A157" s="20">
        <v>3</v>
      </c>
      <c r="B157" s="20">
        <f t="shared" si="18"/>
        <v>-0.15000000000000002</v>
      </c>
      <c r="C157" s="34">
        <f t="shared" si="13"/>
        <v>0.02464332032305303</v>
      </c>
      <c r="D157" s="65">
        <f aca="true" t="shared" si="19" ref="D157:D166">57.87*$C157</f>
        <v>1.4261089470950787</v>
      </c>
      <c r="E157" s="66">
        <f t="shared" si="14"/>
        <v>1.4300614255967867</v>
      </c>
      <c r="F157" s="29">
        <f t="shared" si="15"/>
        <v>0.0025745364416950326</v>
      </c>
      <c r="G157" s="35">
        <f t="shared" si="16"/>
        <v>21.008703633125346</v>
      </c>
      <c r="H157" s="20">
        <f>65.5*$C$21/1000</f>
        <v>19.65</v>
      </c>
      <c r="I157" s="31">
        <f t="shared" si="17"/>
        <v>412.821026390913</v>
      </c>
    </row>
    <row r="158" spans="1:9" s="20" customFormat="1" ht="12">
      <c r="A158" s="20">
        <v>4</v>
      </c>
      <c r="B158" s="20">
        <f t="shared" si="18"/>
        <v>-0.1</v>
      </c>
      <c r="C158" s="34">
        <f t="shared" si="13"/>
        <v>0.02519424697177231</v>
      </c>
      <c r="D158" s="65">
        <f>57.87*$C158</f>
        <v>1.4579910722564635</v>
      </c>
      <c r="E158" s="66">
        <f t="shared" si="14"/>
        <v>1.461996353551435</v>
      </c>
      <c r="F158" s="29">
        <f t="shared" si="15"/>
        <v>0.002631906174625696</v>
      </c>
      <c r="G158" s="35">
        <f t="shared" si="16"/>
        <v>20.550760364375176</v>
      </c>
      <c r="H158" s="20">
        <f>121*$C$21/1000</f>
        <v>36.3</v>
      </c>
      <c r="I158" s="31">
        <f t="shared" si="17"/>
        <v>745.9926012268188</v>
      </c>
    </row>
    <row r="159" spans="1:9" s="20" customFormat="1" ht="12">
      <c r="A159" s="20">
        <v>5</v>
      </c>
      <c r="B159" s="20">
        <f t="shared" si="18"/>
        <v>-0.04999999999999999</v>
      </c>
      <c r="C159" s="34">
        <f t="shared" si="13"/>
        <v>0.025687181341679025</v>
      </c>
      <c r="D159" s="65">
        <f>57.87*$C159</f>
        <v>1.4865171842429652</v>
      </c>
      <c r="E159" s="66">
        <f t="shared" si="14"/>
        <v>1.490568394918953</v>
      </c>
      <c r="F159" s="29">
        <f t="shared" si="15"/>
        <v>0.0026832300786164215</v>
      </c>
      <c r="G159" s="35">
        <f t="shared" si="16"/>
        <v>20.1576724736709</v>
      </c>
      <c r="H159" s="20">
        <f>174.7*$C$21/1000</f>
        <v>52.41</v>
      </c>
      <c r="I159" s="31">
        <f t="shared" si="17"/>
        <v>1056.4636143450919</v>
      </c>
    </row>
    <row r="160" spans="1:9" s="20" customFormat="1" ht="12">
      <c r="A160" s="20">
        <v>6</v>
      </c>
      <c r="B160" s="20">
        <f t="shared" si="18"/>
        <v>0</v>
      </c>
      <c r="C160" s="34">
        <f t="shared" si="13"/>
        <v>0.026130822274595074</v>
      </c>
      <c r="D160" s="65">
        <f t="shared" si="19"/>
        <v>1.5121906850308169</v>
      </c>
      <c r="E160" s="66">
        <f t="shared" si="14"/>
        <v>1.516282170246035</v>
      </c>
      <c r="F160" s="29">
        <f t="shared" si="15"/>
        <v>0.0027294160131131778</v>
      </c>
      <c r="G160" s="35">
        <f t="shared" si="16"/>
        <v>19.816573522099155</v>
      </c>
      <c r="H160" s="20">
        <f>197.4*$C$21/1000</f>
        <v>59.22</v>
      </c>
      <c r="I160" s="31">
        <f t="shared" si="17"/>
        <v>1173.5374839787119</v>
      </c>
    </row>
    <row r="161" spans="1:9" s="20" customFormat="1" ht="12">
      <c r="A161" s="20">
        <v>7</v>
      </c>
      <c r="B161" s="20">
        <f t="shared" si="18"/>
        <v>0.050000000000000044</v>
      </c>
      <c r="C161" s="34">
        <f t="shared" si="13"/>
        <v>0.02653221169009055</v>
      </c>
      <c r="D161" s="65">
        <f t="shared" si="19"/>
        <v>1.53541909050554</v>
      </c>
      <c r="E161" s="66">
        <f t="shared" si="14"/>
        <v>1.539546147831658</v>
      </c>
      <c r="F161" s="29">
        <f t="shared" si="15"/>
        <v>0.0027711987331671558</v>
      </c>
      <c r="G161" s="35">
        <f t="shared" si="16"/>
        <v>19.517789341090005</v>
      </c>
      <c r="H161" s="20">
        <f>174.7*$C$21/1000</f>
        <v>52.41</v>
      </c>
      <c r="I161" s="31">
        <f t="shared" si="17"/>
        <v>1022.9273393665271</v>
      </c>
    </row>
    <row r="162" spans="1:9" s="20" customFormat="1" ht="12">
      <c r="A162" s="20">
        <v>8</v>
      </c>
      <c r="B162" s="20">
        <f t="shared" si="18"/>
        <v>0.10000000000000003</v>
      </c>
      <c r="C162" s="34">
        <f t="shared" si="13"/>
        <v>0.026897111158722793</v>
      </c>
      <c r="D162" s="65">
        <f t="shared" si="19"/>
        <v>1.556535822755288</v>
      </c>
      <c r="E162" s="66">
        <f t="shared" si="14"/>
        <v>1.5606945039023556</v>
      </c>
      <c r="F162" s="29">
        <f t="shared" si="15"/>
        <v>0.0028091792701462567</v>
      </c>
      <c r="G162" s="35">
        <f t="shared" si="16"/>
        <v>19.25390581906011</v>
      </c>
      <c r="H162" s="20">
        <f>121*$C$21/1000</f>
        <v>36.3</v>
      </c>
      <c r="I162" s="31">
        <f t="shared" si="17"/>
        <v>698.9167812318818</v>
      </c>
    </row>
    <row r="163" spans="1:10" s="20" customFormat="1" ht="12">
      <c r="A163" s="20">
        <v>9</v>
      </c>
      <c r="B163" s="20">
        <f t="shared" si="18"/>
        <v>0.15000000000000002</v>
      </c>
      <c r="C163" s="34">
        <f t="shared" si="13"/>
        <v>0.027230280238778326</v>
      </c>
      <c r="D163" s="65">
        <f t="shared" si="19"/>
        <v>1.5758163174181017</v>
      </c>
      <c r="E163" s="66">
        <f t="shared" si="14"/>
        <v>1.580003278286912</v>
      </c>
      <c r="F163" s="29">
        <f t="shared" si="15"/>
        <v>0.0028438540295299113</v>
      </c>
      <c r="G163" s="35">
        <f t="shared" si="16"/>
        <v>19.0191453339793</v>
      </c>
      <c r="H163" s="20">
        <f>65.5*$C$21/1000</f>
        <v>19.65</v>
      </c>
      <c r="I163" s="31">
        <f t="shared" si="17"/>
        <v>373.7262058126932</v>
      </c>
      <c r="J163" s="19"/>
    </row>
    <row r="164" spans="1:9" s="20" customFormat="1" ht="12">
      <c r="A164" s="20">
        <v>10</v>
      </c>
      <c r="B164" s="20">
        <f t="shared" si="18"/>
        <v>0.20000000000000007</v>
      </c>
      <c r="C164" s="34">
        <f t="shared" si="13"/>
        <v>0.02753568522882923</v>
      </c>
      <c r="D164" s="65">
        <f t="shared" si="19"/>
        <v>1.5934901041923475</v>
      </c>
      <c r="E164" s="66">
        <f t="shared" si="14"/>
        <v>1.5977024899206065</v>
      </c>
      <c r="F164" s="29">
        <f t="shared" si="15"/>
        <v>0.0028756366076821585</v>
      </c>
      <c r="G164" s="35">
        <f t="shared" si="16"/>
        <v>18.80893884566596</v>
      </c>
      <c r="H164" s="20">
        <f>27.9*$C$21/1000</f>
        <v>8.37</v>
      </c>
      <c r="I164" s="31">
        <f t="shared" si="17"/>
        <v>157.43081813822408</v>
      </c>
    </row>
    <row r="165" spans="1:10" s="20" customFormat="1" ht="12">
      <c r="A165" s="20">
        <v>11</v>
      </c>
      <c r="B165" s="20">
        <f t="shared" si="18"/>
        <v>0.2500000000000001</v>
      </c>
      <c r="C165" s="34">
        <f t="shared" si="13"/>
        <v>0.02781665781967606</v>
      </c>
      <c r="D165" s="65">
        <f t="shared" si="19"/>
        <v>1.6097499880246535</v>
      </c>
      <c r="E165" s="66">
        <f t="shared" si="14"/>
        <v>1.6139853437625076</v>
      </c>
      <c r="F165" s="29">
        <f t="shared" si="15"/>
        <v>0.0029048743680549684</v>
      </c>
      <c r="G165" s="35">
        <f t="shared" si="16"/>
        <v>18.619625582110043</v>
      </c>
      <c r="H165" s="20">
        <f>9.2*$C$21/1000</f>
        <v>2.76</v>
      </c>
      <c r="I165" s="31">
        <f t="shared" si="17"/>
        <v>51.390166606623715</v>
      </c>
      <c r="J165" s="63"/>
    </row>
    <row r="166" spans="1:12" s="20" customFormat="1" ht="12">
      <c r="A166" s="20">
        <v>12</v>
      </c>
      <c r="B166" s="20">
        <f t="shared" si="18"/>
        <v>0.30000000000000004</v>
      </c>
      <c r="C166" s="34">
        <f t="shared" si="13"/>
        <v>0.028076017134303903</v>
      </c>
      <c r="D166" s="65">
        <f t="shared" si="19"/>
        <v>1.624759111562167</v>
      </c>
      <c r="E166" s="66">
        <f t="shared" si="14"/>
        <v>1.629015312431446</v>
      </c>
      <c r="F166" s="29">
        <f t="shared" si="15"/>
        <v>0.002931861188921671</v>
      </c>
      <c r="G166" s="35">
        <f t="shared" si="16"/>
        <v>18.448238034129204</v>
      </c>
      <c r="H166" s="20">
        <f>3*$C$21/1000</f>
        <v>0.9</v>
      </c>
      <c r="I166" s="31">
        <f t="shared" si="17"/>
        <v>16.603414230716286</v>
      </c>
      <c r="J166" s="28" t="s">
        <v>359</v>
      </c>
      <c r="K166" s="28"/>
      <c r="L166" s="28"/>
    </row>
    <row r="167" spans="2:12" s="20" customFormat="1" ht="15">
      <c r="B167" s="99" t="s">
        <v>384</v>
      </c>
      <c r="C167" s="41">
        <f>($C$154*$H$154+$C$155*$H$155+$C$156*$H$156+$C$157*$H$157+$C$158*$H$158+$C$159*$H$159+$C$160*$H$160+$C$161*$H$161+$C$162*$H$162+$C$163*$H$163+$C$164*$H$164+$C$165*$H$165+$C$166*$H$166)*10^-3/$C$21</f>
        <v>2.6042479837473614E-05</v>
      </c>
      <c r="D167" s="66"/>
      <c r="E167" s="65">
        <f>($E$154*$H$154+$E$155*$H$155+$E$156*$H$156+$E$157*$H$157+$E$158*$H$158+$E$159*$H$159+$E$160*$H$160+$E$161*$H$161+$E$162*$H$162+$E$163*$H$163+$E$164*$H$164+$E$165*$H$165+$E$166*$H$166)/$C$21</f>
        <v>1.5111598494958032</v>
      </c>
      <c r="F167" s="50" t="s">
        <v>122</v>
      </c>
      <c r="G167" s="33"/>
      <c r="H167" s="20">
        <f>SUM(H154:H166)</f>
        <v>299.99999999999994</v>
      </c>
      <c r="I167" s="31">
        <f>SUM(I154:I166)</f>
        <v>5972.122095672046</v>
      </c>
      <c r="J167" s="43">
        <f>$I$167/$C$21</f>
        <v>19.907073652240154</v>
      </c>
      <c r="K167" s="28" t="s">
        <v>324</v>
      </c>
      <c r="L167" s="28"/>
    </row>
    <row r="168" spans="2:4" s="20" customFormat="1" ht="12">
      <c r="B168" s="49"/>
      <c r="C168" s="22"/>
      <c r="D168" s="22"/>
    </row>
    <row r="169" spans="2:5" s="20" customFormat="1" ht="12">
      <c r="B169" s="20" t="s">
        <v>123</v>
      </c>
      <c r="E169" s="20" t="s">
        <v>124</v>
      </c>
    </row>
    <row r="170" spans="2:8" s="32" customFormat="1" ht="15">
      <c r="B170" s="45" t="s">
        <v>125</v>
      </c>
      <c r="C170" s="45" t="s">
        <v>266</v>
      </c>
      <c r="D170" s="54"/>
      <c r="E170" s="45" t="s">
        <v>256</v>
      </c>
      <c r="F170" s="45" t="s">
        <v>268</v>
      </c>
      <c r="G170" s="45" t="s">
        <v>126</v>
      </c>
      <c r="H170" s="45" t="s">
        <v>269</v>
      </c>
    </row>
    <row r="171" spans="2:8" s="32" customFormat="1" ht="13.5">
      <c r="B171" s="32" t="s">
        <v>2</v>
      </c>
      <c r="C171" s="45" t="s">
        <v>267</v>
      </c>
      <c r="D171" s="57"/>
      <c r="E171" s="45"/>
      <c r="H171" s="55"/>
    </row>
    <row r="172" spans="3:8" s="32" customFormat="1" ht="14.25">
      <c r="C172" s="45"/>
      <c r="D172" s="57"/>
      <c r="E172" s="32" t="s">
        <v>2</v>
      </c>
      <c r="F172" s="32" t="s">
        <v>2</v>
      </c>
      <c r="G172" s="32" t="s">
        <v>38</v>
      </c>
      <c r="H172" s="32" t="s">
        <v>38</v>
      </c>
    </row>
    <row r="173" spans="1:8" s="20" customFormat="1" ht="12">
      <c r="A173" s="20">
        <v>0</v>
      </c>
      <c r="B173" s="30">
        <f>0.5927+0.4355*$E154^-0.5-7.201*10^-5*$E154+3.503*10^-6*$E154^2</f>
        <v>0.9735654734589352</v>
      </c>
      <c r="C173" s="47">
        <f aca="true" t="shared" si="20" ref="C173:C185">$H154*LN(($D$78*$D$73)/($B173*$C154))</f>
        <v>1.2169900453445435</v>
      </c>
      <c r="D173" s="48"/>
      <c r="E173" s="30">
        <f>10^(0.338+0.6386*LOG($F154)+0.2961*(LOG($F154))^2)</f>
        <v>5.070567262811025</v>
      </c>
      <c r="F173" s="37">
        <f>1-0.1359*LOG($D$76/$F154)</f>
        <v>0.9065875197432544</v>
      </c>
      <c r="G173" s="35">
        <f aca="true" t="shared" si="21" ref="G173:G185">$E173*$F173*$H$25</f>
        <v>24.914967725787466</v>
      </c>
      <c r="H173" s="31">
        <f aca="true" t="shared" si="22" ref="H173:H185">$H154*$G173</f>
        <v>22.42347095320872</v>
      </c>
    </row>
    <row r="174" spans="1:8" s="20" customFormat="1" ht="12">
      <c r="A174" s="20">
        <v>1</v>
      </c>
      <c r="B174" s="30">
        <f aca="true" t="shared" si="23" ref="B174:B185">0.5927+0.4355*$E155^-0.5-7.201*10^-5*$E155+3.503*10^-6*$E155^2</f>
        <v>0.9669550165788244</v>
      </c>
      <c r="C174" s="47">
        <f t="shared" si="20"/>
        <v>3.6542261454986384</v>
      </c>
      <c r="D174" s="48"/>
      <c r="E174" s="30">
        <f aca="true" t="shared" si="24" ref="E174:E185">10^(0.338+0.6386*LOG($F155)+0.2961*(LOG($F155))^2)</f>
        <v>4.911359660703294</v>
      </c>
      <c r="F174" s="37">
        <f aca="true" t="shared" si="25" ref="F174:F185">1-0.1359*LOG($D$76/$F155)</f>
        <v>0.9086488706402724</v>
      </c>
      <c r="G174" s="35">
        <f t="shared" si="21"/>
        <v>24.18754969082614</v>
      </c>
      <c r="H174" s="31">
        <f t="shared" si="22"/>
        <v>66.75763714668014</v>
      </c>
    </row>
    <row r="175" spans="1:8" s="20" customFormat="1" ht="12">
      <c r="A175" s="20">
        <v>2</v>
      </c>
      <c r="B175" s="30">
        <f t="shared" si="23"/>
        <v>0.9614447838656875</v>
      </c>
      <c r="C175" s="47">
        <f t="shared" si="20"/>
        <v>10.881288909025375</v>
      </c>
      <c r="D175" s="48"/>
      <c r="E175" s="30">
        <f>10^(0.338+0.6386*LOG($F156)+0.2961*(LOG($F156))^2)</f>
        <v>4.781589292615788</v>
      </c>
      <c r="F175" s="37">
        <f>1-0.1359*LOG($D$76/$F156)</f>
        <v>0.9103949885892545</v>
      </c>
      <c r="G175" s="35">
        <f t="shared" si="21"/>
        <v>23.59370653958754</v>
      </c>
      <c r="H175" s="31">
        <f t="shared" si="22"/>
        <v>197.47932373634768</v>
      </c>
    </row>
    <row r="176" spans="1:8" s="20" customFormat="1" ht="12">
      <c r="A176" s="20">
        <v>3</v>
      </c>
      <c r="B176" s="30">
        <f>0.5927+0.4355*$E157^-0.5-7.201*10^-5*$E157+3.503*10^-6*$E157^2</f>
        <v>0.9567797590448214</v>
      </c>
      <c r="C176" s="47">
        <f t="shared" si="20"/>
        <v>25.140725210580605</v>
      </c>
      <c r="D176" s="48"/>
      <c r="E176" s="30">
        <f t="shared" si="24"/>
        <v>4.6737854512267525</v>
      </c>
      <c r="F176" s="37">
        <f t="shared" si="25"/>
        <v>0.9118936649887464</v>
      </c>
      <c r="G176" s="35">
        <f t="shared" si="21"/>
        <v>23.09973595116306</v>
      </c>
      <c r="H176" s="31">
        <f t="shared" si="22"/>
        <v>453.9098114403541</v>
      </c>
    </row>
    <row r="177" spans="1:8" s="20" customFormat="1" ht="12">
      <c r="A177" s="20">
        <v>4</v>
      </c>
      <c r="B177" s="30">
        <f t="shared" si="23"/>
        <v>0.9527784114307226</v>
      </c>
      <c r="C177" s="47">
        <f t="shared" si="20"/>
        <v>45.792714881617805</v>
      </c>
      <c r="D177" s="48"/>
      <c r="E177" s="30">
        <f t="shared" si="24"/>
        <v>4.582807327133422</v>
      </c>
      <c r="F177" s="37">
        <f t="shared" si="25"/>
        <v>0.9131944127399415</v>
      </c>
      <c r="G177" s="35">
        <f t="shared" si="21"/>
        <v>22.68239394962927</v>
      </c>
      <c r="H177" s="31">
        <f t="shared" si="22"/>
        <v>823.3709003715423</v>
      </c>
    </row>
    <row r="178" spans="1:8" s="20" customFormat="1" ht="12">
      <c r="A178" s="20">
        <v>5</v>
      </c>
      <c r="B178" s="30">
        <f>0.5927+0.4355*$E159^-0.5-7.201*10^-5*$E159+3.503*10^-6*$E159^2</f>
        <v>0.9493079178358257</v>
      </c>
      <c r="C178" s="47">
        <f t="shared" si="20"/>
        <v>65.29133147195701</v>
      </c>
      <c r="D178" s="48"/>
      <c r="E178" s="30">
        <f t="shared" si="24"/>
        <v>4.505001715196764</v>
      </c>
      <c r="F178" s="37">
        <f t="shared" si="25"/>
        <v>0.9143342754446033</v>
      </c>
      <c r="G178" s="35">
        <f t="shared" si="21"/>
        <v>22.325130470531466</v>
      </c>
      <c r="H178" s="31">
        <f t="shared" si="22"/>
        <v>1170.060087960554</v>
      </c>
    </row>
    <row r="179" spans="1:8" s="20" customFormat="1" ht="12">
      <c r="A179" s="20">
        <v>6</v>
      </c>
      <c r="B179" s="30">
        <f t="shared" si="23"/>
        <v>0.9462688034634875</v>
      </c>
      <c r="C179" s="47">
        <f t="shared" si="20"/>
        <v>72.950933178731</v>
      </c>
      <c r="D179" s="48"/>
      <c r="E179" s="30">
        <f t="shared" si="24"/>
        <v>4.437701374607427</v>
      </c>
      <c r="F179" s="37">
        <f t="shared" si="25"/>
        <v>0.9153415419865845</v>
      </c>
      <c r="G179" s="35">
        <f t="shared" si="21"/>
        <v>22.015841578304</v>
      </c>
      <c r="H179" s="31">
        <f t="shared" si="22"/>
        <v>1303.7781382671628</v>
      </c>
    </row>
    <row r="180" spans="1:8" s="20" customFormat="1" ht="12">
      <c r="A180" s="20">
        <v>7</v>
      </c>
      <c r="B180" s="30">
        <f t="shared" si="23"/>
        <v>0.943585064385895</v>
      </c>
      <c r="C180" s="47">
        <f t="shared" si="20"/>
        <v>63.911860921155785</v>
      </c>
      <c r="D180" s="48"/>
      <c r="E180" s="30">
        <f t="shared" si="24"/>
        <v>4.378913502559053</v>
      </c>
      <c r="F180" s="37">
        <f t="shared" si="25"/>
        <v>0.916238201575278</v>
      </c>
      <c r="G180" s="35">
        <f t="shared" si="21"/>
        <v>21.745470381954224</v>
      </c>
      <c r="H180" s="31">
        <f t="shared" si="22"/>
        <v>1139.6801027182207</v>
      </c>
    </row>
    <row r="181" spans="1:8" s="20" customFormat="1" ht="12">
      <c r="A181" s="20">
        <v>8</v>
      </c>
      <c r="B181" s="30">
        <f t="shared" si="23"/>
        <v>0.9411976126454152</v>
      </c>
      <c r="C181" s="47">
        <f t="shared" si="20"/>
        <v>43.86249955711625</v>
      </c>
      <c r="D181" s="48"/>
      <c r="E181" s="30">
        <f t="shared" si="24"/>
        <v>4.327119277397876</v>
      </c>
      <c r="F181" s="37">
        <f>1-0.1359*LOG($D$76/$F162)</f>
        <v>0.9170416129056433</v>
      </c>
      <c r="G181" s="35">
        <f t="shared" si="21"/>
        <v>21.507104959510873</v>
      </c>
      <c r="H181" s="31">
        <f t="shared" si="22"/>
        <v>780.7079100302446</v>
      </c>
    </row>
    <row r="182" spans="1:8" s="20" customFormat="1" ht="12">
      <c r="A182" s="20">
        <v>9</v>
      </c>
      <c r="B182" s="30">
        <f t="shared" si="23"/>
        <v>0.9390598067142303</v>
      </c>
      <c r="C182" s="47">
        <f t="shared" si="20"/>
        <v>23.546527466373192</v>
      </c>
      <c r="D182" s="48"/>
      <c r="E182" s="30">
        <f t="shared" si="24"/>
        <v>4.281140872358402</v>
      </c>
      <c r="F182" s="37">
        <f t="shared" si="25"/>
        <v>0.9177656671818172</v>
      </c>
      <c r="G182" s="35">
        <f t="shared" si="21"/>
        <v>21.295378833670057</v>
      </c>
      <c r="H182" s="31">
        <f t="shared" si="22"/>
        <v>418.4541940816166</v>
      </c>
    </row>
    <row r="183" spans="1:8" s="20" customFormat="1" ht="12">
      <c r="A183" s="20">
        <v>10</v>
      </c>
      <c r="B183" s="30">
        <f t="shared" si="23"/>
        <v>0.9371343308590397</v>
      </c>
      <c r="C183" s="47">
        <f t="shared" si="20"/>
        <v>9.953569579521107</v>
      </c>
      <c r="D183" s="48"/>
      <c r="E183" s="30">
        <f t="shared" si="24"/>
        <v>4.240050857648733</v>
      </c>
      <c r="F183" s="37">
        <f t="shared" si="25"/>
        <v>0.9184216160758268</v>
      </c>
      <c r="G183" s="35">
        <f t="shared" si="21"/>
        <v>21.10606188407435</v>
      </c>
      <c r="H183" s="31">
        <f t="shared" si="22"/>
        <v>176.65773796970228</v>
      </c>
    </row>
    <row r="184" spans="1:10" s="20" customFormat="1" ht="12">
      <c r="A184" s="20">
        <v>11</v>
      </c>
      <c r="B184" s="30">
        <f t="shared" si="23"/>
        <v>0.9353909703821631</v>
      </c>
      <c r="C184" s="47">
        <f t="shared" si="20"/>
        <v>3.2592997182848715</v>
      </c>
      <c r="D184" s="48"/>
      <c r="E184" s="30">
        <f t="shared" si="24"/>
        <v>4.203109025791015</v>
      </c>
      <c r="F184" s="37">
        <f t="shared" si="25"/>
        <v>0.9190186724504217</v>
      </c>
      <c r="G184" s="35">
        <f t="shared" si="21"/>
        <v>20.935774672834906</v>
      </c>
      <c r="H184" s="31">
        <f t="shared" si="22"/>
        <v>57.782738097024335</v>
      </c>
      <c r="J184" s="63"/>
    </row>
    <row r="185" spans="1:11" s="20" customFormat="1" ht="12">
      <c r="A185" s="20">
        <v>12</v>
      </c>
      <c r="B185" s="30">
        <f t="shared" si="23"/>
        <v>0.9338049958927422</v>
      </c>
      <c r="C185" s="47">
        <f t="shared" si="20"/>
        <v>1.0559897718417195</v>
      </c>
      <c r="D185" s="48"/>
      <c r="E185" s="30">
        <f t="shared" si="24"/>
        <v>4.169717422426377</v>
      </c>
      <c r="F185" s="37">
        <f t="shared" si="25"/>
        <v>0.9195644536448829</v>
      </c>
      <c r="G185" s="35">
        <f t="shared" si="21"/>
        <v>20.78178482677913</v>
      </c>
      <c r="H185" s="31">
        <f t="shared" si="22"/>
        <v>18.703606344101217</v>
      </c>
      <c r="I185" s="28" t="s">
        <v>360</v>
      </c>
      <c r="J185" s="28"/>
      <c r="K185" s="28"/>
    </row>
    <row r="186" spans="3:11" s="20" customFormat="1" ht="14.25">
      <c r="C186" s="47">
        <f>SUM(C173:C185)</f>
        <v>370.51795685704786</v>
      </c>
      <c r="H186" s="31">
        <f>SUM(H173:H185)</f>
        <v>6629.765659116759</v>
      </c>
      <c r="I186" s="43">
        <f>$H$186/$C$21</f>
        <v>22.09921886372253</v>
      </c>
      <c r="J186" s="28" t="s">
        <v>324</v>
      </c>
      <c r="K186" s="28"/>
    </row>
    <row r="187" s="20" customFormat="1" ht="12"/>
    <row r="188" s="12" customFormat="1" ht="15.75" customHeight="1">
      <c r="B188" s="12" t="s">
        <v>16</v>
      </c>
    </row>
    <row r="189" spans="2:5" s="20" customFormat="1" ht="12">
      <c r="B189" s="120" t="s">
        <v>127</v>
      </c>
      <c r="C189" s="121"/>
      <c r="D189" s="120" t="s">
        <v>128</v>
      </c>
      <c r="E189" s="121"/>
    </row>
    <row r="190" spans="2:10" s="32" customFormat="1" ht="13.5">
      <c r="B190" s="32" t="s">
        <v>129</v>
      </c>
      <c r="C190" s="32" t="s">
        <v>129</v>
      </c>
      <c r="D190" s="32" t="s">
        <v>129</v>
      </c>
      <c r="E190" s="32" t="s">
        <v>129</v>
      </c>
      <c r="F190" s="32" t="s">
        <v>130</v>
      </c>
      <c r="G190" s="32" t="s">
        <v>270</v>
      </c>
      <c r="H190" s="32" t="s">
        <v>271</v>
      </c>
      <c r="I190" s="32" t="s">
        <v>131</v>
      </c>
      <c r="J190" s="32" t="s">
        <v>132</v>
      </c>
    </row>
    <row r="191" spans="2:10" s="32" customFormat="1" ht="13.5">
      <c r="B191" s="32" t="s">
        <v>273</v>
      </c>
      <c r="C191" s="32" t="s">
        <v>274</v>
      </c>
      <c r="D191" s="32" t="s">
        <v>273</v>
      </c>
      <c r="E191" s="32" t="s">
        <v>275</v>
      </c>
      <c r="G191" s="58"/>
      <c r="I191" s="32" t="s">
        <v>133</v>
      </c>
      <c r="J191" s="32" t="s">
        <v>134</v>
      </c>
    </row>
    <row r="192" spans="2:9" s="32" customFormat="1" ht="13.5">
      <c r="B192" s="32" t="s">
        <v>105</v>
      </c>
      <c r="C192" s="32" t="s">
        <v>106</v>
      </c>
      <c r="D192" s="32" t="s">
        <v>135</v>
      </c>
      <c r="E192" s="32" t="s">
        <v>136</v>
      </c>
      <c r="I192" s="32" t="s">
        <v>137</v>
      </c>
    </row>
    <row r="193" spans="2:10" s="32" customFormat="1" ht="14.25">
      <c r="B193" s="32" t="s">
        <v>38</v>
      </c>
      <c r="C193" s="32" t="s">
        <v>1</v>
      </c>
      <c r="D193" s="32" t="s">
        <v>38</v>
      </c>
      <c r="E193" s="32" t="s">
        <v>1</v>
      </c>
      <c r="F193" s="32" t="s">
        <v>2</v>
      </c>
      <c r="G193" s="32" t="s">
        <v>109</v>
      </c>
      <c r="H193" s="32" t="s">
        <v>109</v>
      </c>
      <c r="I193" s="32" t="s">
        <v>109</v>
      </c>
      <c r="J193" s="32" t="s">
        <v>109</v>
      </c>
    </row>
    <row r="194" spans="2:10" s="20" customFormat="1" ht="12">
      <c r="B194" s="31">
        <f>($C$86+$C$94+$C$77)*$C$21</f>
        <v>14704.000399035369</v>
      </c>
      <c r="C194" s="31">
        <f>2*($H$23-1)*$I$13*$C$21*LN(($C$78*$C$73)/($C$87*$C$82))</f>
        <v>0</v>
      </c>
      <c r="D194" s="31">
        <f>$I$167+$H$186+$D$77*$C$21</f>
        <v>14018.34381457086</v>
      </c>
      <c r="E194" s="31">
        <f>2*($H$23-1)*$I$13*$C$186</f>
        <v>17.327932224077628</v>
      </c>
      <c r="F194" s="34">
        <f>$D$194/$B$194</f>
        <v>0.9533693848029622</v>
      </c>
      <c r="G194" s="34">
        <f>-($C$194-$E$194)/$B$194</f>
        <v>0.001178450200886447</v>
      </c>
      <c r="H194" s="34">
        <f>($F$194-1)*$C$16+$G$194</f>
        <v>0.000836927575183342</v>
      </c>
      <c r="I194" s="34">
        <f>2*((3-2*$F$194)*$C$16-2*$G$194)</f>
        <v>0.01130028969926663</v>
      </c>
      <c r="J194" s="34">
        <f>3*(($F$194-2)*$C$16+$G$194)</f>
        <v>-0.019461217274449973</v>
      </c>
    </row>
    <row r="195" s="20" customFormat="1" ht="12"/>
    <row r="196" spans="2:10" s="20" customFormat="1" ht="15">
      <c r="B196" s="54" t="s">
        <v>286</v>
      </c>
      <c r="C196" s="54" t="s">
        <v>186</v>
      </c>
      <c r="D196" s="54" t="s">
        <v>187</v>
      </c>
      <c r="E196" s="54" t="s">
        <v>188</v>
      </c>
      <c r="F196" s="100" t="s">
        <v>361</v>
      </c>
      <c r="G196" s="100" t="s">
        <v>362</v>
      </c>
      <c r="H196" s="100" t="s">
        <v>363</v>
      </c>
      <c r="I196" s="100" t="s">
        <v>364</v>
      </c>
      <c r="J196" s="100" t="s">
        <v>365</v>
      </c>
    </row>
    <row r="197" spans="3:10" s="20" customFormat="1" ht="13.5">
      <c r="C197" s="54"/>
      <c r="D197" s="54"/>
      <c r="E197" s="54"/>
      <c r="F197" s="102" t="s">
        <v>366</v>
      </c>
      <c r="G197" s="102" t="s">
        <v>367</v>
      </c>
      <c r="H197" s="102" t="s">
        <v>368</v>
      </c>
      <c r="I197" s="102" t="s">
        <v>369</v>
      </c>
      <c r="J197" s="102" t="s">
        <v>370</v>
      </c>
    </row>
    <row r="198" spans="2:10" s="20" customFormat="1" ht="13.5">
      <c r="B198" s="57" t="s">
        <v>252</v>
      </c>
      <c r="C198" s="45"/>
      <c r="D198" s="45"/>
      <c r="E198" s="45"/>
      <c r="F198" s="102"/>
      <c r="G198" s="100" t="s">
        <v>371</v>
      </c>
      <c r="H198" s="100" t="s">
        <v>372</v>
      </c>
      <c r="I198" s="28"/>
      <c r="J198" s="28"/>
    </row>
    <row r="199" spans="2:10" s="20" customFormat="1" ht="14.25">
      <c r="B199" s="56" t="s">
        <v>2</v>
      </c>
      <c r="C199" s="32" t="s">
        <v>2</v>
      </c>
      <c r="D199" s="32" t="s">
        <v>2</v>
      </c>
      <c r="E199" s="32" t="s">
        <v>2</v>
      </c>
      <c r="F199" s="100" t="s">
        <v>350</v>
      </c>
      <c r="G199" s="100" t="s">
        <v>350</v>
      </c>
      <c r="H199" s="100" t="s">
        <v>350</v>
      </c>
      <c r="I199" s="100" t="s">
        <v>2</v>
      </c>
      <c r="J199" s="100" t="s">
        <v>2</v>
      </c>
    </row>
    <row r="200" spans="2:10" s="20" customFormat="1" ht="12">
      <c r="B200" s="111">
        <v>0.56991</v>
      </c>
      <c r="C200" s="52">
        <f>($D$148+$E$148*$B$200+$F$148*$B$200^2)/($G$148+$H$148*$B$200+$I$148*$B$200^2)</f>
        <v>0.789145435182626</v>
      </c>
      <c r="D200" s="52">
        <f>($H$194+$I$194*$B$200+$J$194*$B$200^2)/((2*$B$200-3*$B$200^2)*$C$16)</f>
        <v>0.7891451381907154</v>
      </c>
      <c r="E200" s="52">
        <f>$C$200</f>
        <v>0.789145435182626</v>
      </c>
      <c r="F200" s="113">
        <f>($B$148*$E$200)*$C$16+$C$148</f>
        <v>0.008160926396359581</v>
      </c>
      <c r="G200" s="113">
        <f>2*((3-(2*$B$148+1)*$E$200)*$C$16-2*$C$148)</f>
        <v>-0.0002591079199934336</v>
      </c>
      <c r="H200" s="113">
        <f>-3*((2-($B$148+1)*$E$200)*$C$16-$C$148)</f>
        <v>-0.0021221173090885965</v>
      </c>
      <c r="I200" s="70">
        <f>($F$200+$G$200+$H$200)/$C$16</f>
        <v>0.7891454351826258</v>
      </c>
      <c r="J200" s="70">
        <f>$F$200/$C$16</f>
        <v>1.1142717635663</v>
      </c>
    </row>
    <row r="201" s="20" customFormat="1" ht="12"/>
    <row r="202" spans="3:6" s="20" customFormat="1" ht="15">
      <c r="C202" s="54" t="s">
        <v>303</v>
      </c>
      <c r="D202" s="52">
        <f>$C$200-$D$200</f>
        <v>2.96991910619937E-07</v>
      </c>
      <c r="E202" s="46" t="s">
        <v>138</v>
      </c>
      <c r="F202" s="24" t="s">
        <v>287</v>
      </c>
    </row>
    <row r="203" spans="2:6" s="20" customFormat="1" ht="12">
      <c r="B203" s="19"/>
      <c r="D203" s="52"/>
      <c r="E203" s="46"/>
      <c r="F203" s="25"/>
    </row>
    <row r="204" spans="2:6" s="12" customFormat="1" ht="16.5" customHeight="1">
      <c r="B204" s="12" t="s">
        <v>139</v>
      </c>
      <c r="D204" s="15"/>
      <c r="E204" s="16"/>
      <c r="F204" s="17"/>
    </row>
    <row r="205" spans="2:6" s="20" customFormat="1" ht="12">
      <c r="B205" s="53" t="s">
        <v>300</v>
      </c>
      <c r="C205" s="51"/>
      <c r="D205" s="52"/>
      <c r="E205" s="46"/>
      <c r="F205" s="25"/>
    </row>
    <row r="206" spans="2:5" s="20" customFormat="1" ht="13.5">
      <c r="B206" s="19" t="s">
        <v>208</v>
      </c>
      <c r="C206" s="30">
        <f>$E$167</f>
        <v>1.5111598494958032</v>
      </c>
      <c r="D206" s="20" t="s">
        <v>71</v>
      </c>
      <c r="E206" s="19"/>
    </row>
    <row r="207" spans="2:5" s="20" customFormat="1" ht="12">
      <c r="B207" s="20" t="s">
        <v>141</v>
      </c>
      <c r="C207" s="29">
        <f>1.2*10^-2-1.224*10^-4*$I$11+(2.107*10^-5-1.529*10^-7*$I$11)*$C$206+(-1.392*10^-8+1.123*10^-10*$I$11)*$C$206^2+(5.819*10^-10-6.769*10^-12*$I$11)*$C$206^3</f>
        <v>0.008966039777050088</v>
      </c>
      <c r="D207" s="20" t="s">
        <v>211</v>
      </c>
      <c r="E207" s="33"/>
    </row>
    <row r="208" spans="2:10" s="20" customFormat="1" ht="15">
      <c r="B208" s="40" t="s">
        <v>373</v>
      </c>
      <c r="C208" s="41">
        <f>32*$C$60*$C$24*$C$207/$C$29^2</f>
        <v>38196.70376158368</v>
      </c>
      <c r="D208" s="28" t="s">
        <v>374</v>
      </c>
      <c r="E208" s="42">
        <f>0.1*$C$208</f>
        <v>3819.6703761583685</v>
      </c>
      <c r="F208" s="28" t="s">
        <v>15</v>
      </c>
      <c r="G208" s="114">
        <f>1.01972*10^-5*$E$208</f>
        <v>0.03894994275976212</v>
      </c>
      <c r="H208" s="28" t="s">
        <v>375</v>
      </c>
      <c r="I208" s="59">
        <f>$G$208*10^3</f>
        <v>38.94994275976212</v>
      </c>
      <c r="J208" s="28" t="s">
        <v>13</v>
      </c>
    </row>
    <row r="209" spans="2:9" s="20" customFormat="1" ht="12">
      <c r="B209" s="20" t="s">
        <v>144</v>
      </c>
      <c r="C209" s="29"/>
      <c r="E209" s="29"/>
      <c r="G209" s="115"/>
      <c r="H209" s="22"/>
      <c r="I209" s="31"/>
    </row>
    <row r="210" spans="2:9" s="20" customFormat="1" ht="13.5">
      <c r="B210" s="19" t="s">
        <v>207</v>
      </c>
      <c r="C210" s="30">
        <f>$C$84</f>
        <v>2.0046529165156968</v>
      </c>
      <c r="D210" s="20" t="s">
        <v>71</v>
      </c>
      <c r="E210" s="29"/>
      <c r="G210" s="115"/>
      <c r="H210" s="22"/>
      <c r="I210" s="31"/>
    </row>
    <row r="211" spans="2:9" s="20" customFormat="1" ht="13.5">
      <c r="B211" s="20" t="s">
        <v>145</v>
      </c>
      <c r="C211" s="29">
        <f>1.2*10^-2-1.224*10^-4*$I$11+(2.107*10^-5-1.529*10^-7*$I$11)*$C$210+(-1.392*10^-8+1.123*10^-10*$I$11)*$C$210^2+(5.819*10^-10-6.769*10^-12*$I$11)*$C$210^3</f>
        <v>0.008974533918610238</v>
      </c>
      <c r="D211" s="20" t="s">
        <v>211</v>
      </c>
      <c r="E211" s="33"/>
      <c r="G211" s="115"/>
      <c r="H211" s="22"/>
      <c r="I211" s="31"/>
    </row>
    <row r="212" spans="2:10" s="20" customFormat="1" ht="15">
      <c r="B212" s="19" t="s">
        <v>204</v>
      </c>
      <c r="C212" s="29">
        <f>32*$C$38*$C$35*$C$211/$C$37^2</f>
        <v>7816.569369248379</v>
      </c>
      <c r="D212" s="20" t="s">
        <v>142</v>
      </c>
      <c r="E212" s="71">
        <f>0.1*$C$212</f>
        <v>781.656936924838</v>
      </c>
      <c r="F212" s="20" t="s">
        <v>15</v>
      </c>
      <c r="G212" s="115">
        <f>1.01972*10^-5*$E$212</f>
        <v>0.007970712117209958</v>
      </c>
      <c r="H212" s="22" t="s">
        <v>143</v>
      </c>
      <c r="I212" s="31">
        <f>$G$212*10^3</f>
        <v>7.970712117209958</v>
      </c>
      <c r="J212" s="20" t="s">
        <v>13</v>
      </c>
    </row>
    <row r="213" spans="2:9" s="20" customFormat="1" ht="12">
      <c r="B213" s="20" t="s">
        <v>140</v>
      </c>
      <c r="C213" s="29"/>
      <c r="E213" s="29"/>
      <c r="G213" s="115"/>
      <c r="H213" s="22"/>
      <c r="I213" s="31"/>
    </row>
    <row r="214" spans="2:9" s="20" customFormat="1" ht="13.5">
      <c r="B214" s="19" t="s">
        <v>146</v>
      </c>
      <c r="C214" s="30">
        <f>$C$46</f>
        <v>1.2051813350647198</v>
      </c>
      <c r="D214" s="20" t="s">
        <v>71</v>
      </c>
      <c r="E214" s="29"/>
      <c r="G214" s="115"/>
      <c r="H214" s="22"/>
      <c r="I214" s="31"/>
    </row>
    <row r="215" spans="2:9" s="20" customFormat="1" ht="13.5">
      <c r="B215" s="20" t="s">
        <v>164</v>
      </c>
      <c r="C215" s="29">
        <f>1.2*10^-2-1.224*10^-4*$I$11+(2.107*10^-5-1.529*10^-7*$I$11)*$C$214+(-1.392*10^-8+1.123*10^-10*$I$11)*$C$214^2+(5.819*10^-10-6.769*10^-12*$I$11)*$C$214^3</f>
        <v>0.00896077094697139</v>
      </c>
      <c r="D215" s="20" t="s">
        <v>212</v>
      </c>
      <c r="E215" s="33"/>
      <c r="G215" s="115"/>
      <c r="H215" s="22"/>
      <c r="I215" s="31"/>
    </row>
    <row r="216" spans="2:10" s="20" customFormat="1" ht="15">
      <c r="B216" s="21" t="s">
        <v>210</v>
      </c>
      <c r="C216" s="29">
        <f>32*$C$39*$C$35*$C$215/$C$37^2</f>
        <v>7786.682783291209</v>
      </c>
      <c r="D216" s="20" t="s">
        <v>147</v>
      </c>
      <c r="E216" s="71">
        <f>0.1*$C$216</f>
        <v>778.6682783291209</v>
      </c>
      <c r="F216" s="20" t="s">
        <v>148</v>
      </c>
      <c r="G216" s="115">
        <f>1.01972*10^-5*$E$216</f>
        <v>0.007940236167777712</v>
      </c>
      <c r="H216" s="22" t="s">
        <v>149</v>
      </c>
      <c r="I216" s="31">
        <f>$G$216*10^3</f>
        <v>7.940236167777711</v>
      </c>
      <c r="J216" s="20" t="s">
        <v>150</v>
      </c>
    </row>
    <row r="217" spans="2:10" s="20" customFormat="1" ht="15">
      <c r="B217" s="40" t="s">
        <v>376</v>
      </c>
      <c r="C217" s="41">
        <f>$C$212+$C$216</f>
        <v>15603.252152539588</v>
      </c>
      <c r="D217" s="28" t="s">
        <v>374</v>
      </c>
      <c r="E217" s="42">
        <f>$E$212+$E$216</f>
        <v>1560.325215253959</v>
      </c>
      <c r="F217" s="28" t="s">
        <v>15</v>
      </c>
      <c r="G217" s="114">
        <f>$G$212+$G$216</f>
        <v>0.01591094828498767</v>
      </c>
      <c r="H217" s="28" t="s">
        <v>375</v>
      </c>
      <c r="I217" s="59">
        <f>$I$212+$I$216</f>
        <v>15.910948284987668</v>
      </c>
      <c r="J217" s="28" t="s">
        <v>13</v>
      </c>
    </row>
    <row r="218" spans="2:10" s="20" customFormat="1" ht="15">
      <c r="B218" s="40" t="s">
        <v>377</v>
      </c>
      <c r="C218" s="41">
        <f>$C$208+$C$217</f>
        <v>53799.95591412327</v>
      </c>
      <c r="D218" s="28" t="s">
        <v>374</v>
      </c>
      <c r="E218" s="42">
        <f>$E$208+$E$217</f>
        <v>5379.9955914123275</v>
      </c>
      <c r="F218" s="28" t="s">
        <v>15</v>
      </c>
      <c r="G218" s="114">
        <f>$G$208+$G$217</f>
        <v>0.054860891044749796</v>
      </c>
      <c r="H218" s="28" t="s">
        <v>375</v>
      </c>
      <c r="I218" s="59">
        <f>$I$208+$I$217</f>
        <v>54.86089104474979</v>
      </c>
      <c r="J218" s="28" t="s">
        <v>13</v>
      </c>
    </row>
    <row r="219" spans="2:7" s="20" customFormat="1" ht="12">
      <c r="B219" s="53" t="s">
        <v>301</v>
      </c>
      <c r="C219" s="51"/>
      <c r="D219" s="52"/>
      <c r="G219" s="115"/>
    </row>
    <row r="220" spans="2:7" s="20" customFormat="1" ht="13.5">
      <c r="B220" s="19" t="s">
        <v>151</v>
      </c>
      <c r="C220" s="37">
        <f>$D$75</f>
        <v>6.409913224550473</v>
      </c>
      <c r="D220" s="20" t="s">
        <v>152</v>
      </c>
      <c r="E220" s="19"/>
      <c r="G220" s="115"/>
    </row>
    <row r="221" spans="2:7" s="20" customFormat="1" ht="12">
      <c r="B221" s="20" t="s">
        <v>153</v>
      </c>
      <c r="C221" s="29">
        <f>1.2*10^-2-1.224*10^-4*$I$11+(2.107*10^-5-1.529*10^-7*$I$11)*$C$220+(-1.392*10^-8+1.123*10^-10*$I$11)*$C$220^2+(5.819*10^-10-6.769*10^-12*$I$11)*$C$220^3</f>
        <v>0.009050207082940272</v>
      </c>
      <c r="D221" s="20" t="s">
        <v>212</v>
      </c>
      <c r="E221" s="33"/>
      <c r="G221" s="115"/>
    </row>
    <row r="222" spans="2:10" s="22" customFormat="1" ht="15">
      <c r="B222" s="40" t="s">
        <v>378</v>
      </c>
      <c r="C222" s="41">
        <f>32*$C$63*$C$24*$C$221/$C$29^2</f>
        <v>3911.0329521478006</v>
      </c>
      <c r="D222" s="28" t="s">
        <v>374</v>
      </c>
      <c r="E222" s="42">
        <f>0.1*$C$222</f>
        <v>391.1032952147801</v>
      </c>
      <c r="F222" s="28" t="s">
        <v>15</v>
      </c>
      <c r="G222" s="114">
        <f>1.01972*10^-5*$E$222</f>
        <v>0.003988158521964156</v>
      </c>
      <c r="H222" s="28" t="s">
        <v>375</v>
      </c>
      <c r="I222" s="59">
        <f>$G$222*10^3</f>
        <v>3.988158521964156</v>
      </c>
      <c r="J222" s="28" t="s">
        <v>13</v>
      </c>
    </row>
    <row r="223" spans="2:9" s="22" customFormat="1" ht="12">
      <c r="B223" s="20" t="s">
        <v>155</v>
      </c>
      <c r="C223" s="27"/>
      <c r="E223" s="27"/>
      <c r="G223" s="116"/>
      <c r="I223" s="47"/>
    </row>
    <row r="224" spans="2:9" s="22" customFormat="1" ht="13.5">
      <c r="B224" s="19" t="s">
        <v>156</v>
      </c>
      <c r="C224" s="37">
        <f>$C$75</f>
        <v>2.0046529165156968</v>
      </c>
      <c r="D224" s="20" t="s">
        <v>152</v>
      </c>
      <c r="E224" s="29"/>
      <c r="G224" s="116"/>
      <c r="I224" s="47"/>
    </row>
    <row r="225" spans="2:9" s="22" customFormat="1" ht="13.5">
      <c r="B225" s="20" t="s">
        <v>157</v>
      </c>
      <c r="C225" s="29">
        <f>1.2*10^-2-1.224*10^-4*$I$11+(2.107*10^-5-1.529*10^-7*$I$11)*$C$224+(-1.392*10^-8+1.123*10^-10*$I$11)*$C$224^2+(5.819*10^-10-6.769*10^-12*$I$11)*$C$224^3</f>
        <v>0.008974533918610238</v>
      </c>
      <c r="D225" s="20" t="s">
        <v>211</v>
      </c>
      <c r="E225" s="33"/>
      <c r="G225" s="116"/>
      <c r="I225" s="47"/>
    </row>
    <row r="226" spans="2:10" s="22" customFormat="1" ht="15">
      <c r="B226" s="21" t="s">
        <v>205</v>
      </c>
      <c r="C226" s="27">
        <f>32*$F$38*$F$35*$C$225/$F$37^2</f>
        <v>3992.4890481044513</v>
      </c>
      <c r="D226" s="22" t="s">
        <v>154</v>
      </c>
      <c r="E226" s="72">
        <f>0.1*$C$226</f>
        <v>399.24890481044514</v>
      </c>
      <c r="F226" s="22" t="s">
        <v>148</v>
      </c>
      <c r="G226" s="116">
        <f>1.01972*10^-5*$E$226</f>
        <v>0.004071220932133072</v>
      </c>
      <c r="H226" s="22" t="s">
        <v>149</v>
      </c>
      <c r="I226" s="47">
        <f>$G$226*10^3</f>
        <v>4.0712209321330715</v>
      </c>
      <c r="J226" s="22" t="s">
        <v>150</v>
      </c>
    </row>
    <row r="227" spans="2:9" s="20" customFormat="1" ht="12">
      <c r="B227" s="20" t="s">
        <v>158</v>
      </c>
      <c r="C227" s="29"/>
      <c r="E227" s="29"/>
      <c r="G227" s="115"/>
      <c r="H227" s="22"/>
      <c r="I227" s="31"/>
    </row>
    <row r="228" spans="2:9" s="20" customFormat="1" ht="13.5">
      <c r="B228" s="19" t="s">
        <v>159</v>
      </c>
      <c r="C228" s="37">
        <f>$E$75</f>
        <v>9.715093629819442</v>
      </c>
      <c r="D228" s="20" t="s">
        <v>152</v>
      </c>
      <c r="E228" s="29"/>
      <c r="G228" s="115"/>
      <c r="H228" s="22"/>
      <c r="I228" s="31"/>
    </row>
    <row r="229" spans="2:9" s="20" customFormat="1" ht="13.5">
      <c r="B229" s="20" t="s">
        <v>160</v>
      </c>
      <c r="C229" s="29">
        <f>1.2*10^-2-1.224*10^-4*$I$11+(2.107*10^-5-1.529*10^-7*$I$11)*$C$228+(-1.392*10^-8+1.123*10^-10*$I$11)*$C$228^2+(5.819*10^-10-6.769*10^-12*$I$11)*$C$228^3</f>
        <v>0.009106890644061881</v>
      </c>
      <c r="D229" s="20" t="s">
        <v>212</v>
      </c>
      <c r="E229" s="33"/>
      <c r="G229" s="115"/>
      <c r="H229" s="22"/>
      <c r="I229" s="31"/>
    </row>
    <row r="230" spans="2:10" s="22" customFormat="1" ht="15">
      <c r="B230" s="21" t="s">
        <v>206</v>
      </c>
      <c r="C230" s="27">
        <f>32*$F$39*$F$35*$C$229/$F$37^2</f>
        <v>4144.286572114962</v>
      </c>
      <c r="D230" s="22" t="s">
        <v>154</v>
      </c>
      <c r="E230" s="72">
        <f>0.1*$C$230</f>
        <v>414.4286572114962</v>
      </c>
      <c r="F230" s="22" t="s">
        <v>148</v>
      </c>
      <c r="G230" s="116">
        <f>1.01972*10^-5*$E$230</f>
        <v>0.00422601190331707</v>
      </c>
      <c r="H230" s="22" t="s">
        <v>149</v>
      </c>
      <c r="I230" s="47">
        <f>$G$230*10^3</f>
        <v>4.22601190331707</v>
      </c>
      <c r="J230" s="22" t="s">
        <v>150</v>
      </c>
    </row>
    <row r="231" spans="2:10" s="22" customFormat="1" ht="15">
      <c r="B231" s="40" t="s">
        <v>376</v>
      </c>
      <c r="C231" s="41">
        <f>$C$226+$C$230</f>
        <v>8136.775620219413</v>
      </c>
      <c r="D231" s="28" t="s">
        <v>374</v>
      </c>
      <c r="E231" s="42">
        <f>$E$226+$E$230</f>
        <v>813.6775620219414</v>
      </c>
      <c r="F231" s="28" t="s">
        <v>15</v>
      </c>
      <c r="G231" s="114">
        <f>$G$226+$G$230</f>
        <v>0.008297232835450141</v>
      </c>
      <c r="H231" s="28" t="s">
        <v>375</v>
      </c>
      <c r="I231" s="59">
        <f>$I$226+$I$230</f>
        <v>8.297232835450142</v>
      </c>
      <c r="J231" s="28" t="s">
        <v>13</v>
      </c>
    </row>
    <row r="232" spans="2:10" s="22" customFormat="1" ht="15">
      <c r="B232" s="40" t="s">
        <v>379</v>
      </c>
      <c r="C232" s="41">
        <f>$C$222+$C$231</f>
        <v>12047.808572367214</v>
      </c>
      <c r="D232" s="28" t="s">
        <v>374</v>
      </c>
      <c r="E232" s="42">
        <f>$E$222+$E$231</f>
        <v>1204.7808572367214</v>
      </c>
      <c r="F232" s="28" t="s">
        <v>15</v>
      </c>
      <c r="G232" s="114">
        <f>$G$222+$G$231</f>
        <v>0.012285391357414297</v>
      </c>
      <c r="H232" s="28" t="s">
        <v>375</v>
      </c>
      <c r="I232" s="59">
        <f>$I$222+$I$231</f>
        <v>12.285391357414298</v>
      </c>
      <c r="J232" s="28" t="s">
        <v>13</v>
      </c>
    </row>
    <row r="233" spans="3:9" s="7" customFormat="1" ht="12">
      <c r="C233" s="8"/>
      <c r="E233" s="8"/>
      <c r="G233" s="6"/>
      <c r="I233" s="11"/>
    </row>
    <row r="234" spans="2:10" s="12" customFormat="1" ht="15.75" customHeight="1">
      <c r="B234" s="12" t="s">
        <v>161</v>
      </c>
      <c r="E234" s="13"/>
      <c r="F234" s="18"/>
      <c r="G234" s="14"/>
      <c r="H234" s="13"/>
      <c r="I234" s="14"/>
      <c r="J234" s="14"/>
    </row>
    <row r="235" spans="2:10" s="20" customFormat="1" ht="13.5">
      <c r="B235" s="28" t="s">
        <v>191</v>
      </c>
      <c r="C235" s="70">
        <v>0.595</v>
      </c>
      <c r="D235" s="28" t="s">
        <v>182</v>
      </c>
      <c r="E235" s="59">
        <v>83.5</v>
      </c>
      <c r="F235" s="28" t="s">
        <v>184</v>
      </c>
      <c r="G235" s="68">
        <v>0.7846</v>
      </c>
      <c r="I235" s="43"/>
      <c r="J235" s="28"/>
    </row>
    <row r="236" spans="2:7" s="20" customFormat="1" ht="13.5">
      <c r="B236" s="28" t="s">
        <v>192</v>
      </c>
      <c r="C236" s="70">
        <v>0.2731</v>
      </c>
      <c r="D236" s="28" t="s">
        <v>183</v>
      </c>
      <c r="E236" s="59">
        <v>24</v>
      </c>
      <c r="F236" s="28" t="s">
        <v>185</v>
      </c>
      <c r="G236" s="41">
        <v>0.008612</v>
      </c>
    </row>
    <row r="237" spans="2:8" s="20" customFormat="1" ht="13.5">
      <c r="B237" s="28" t="s">
        <v>193</v>
      </c>
      <c r="C237" s="70">
        <v>0.131</v>
      </c>
      <c r="H237" s="19"/>
    </row>
    <row r="238" s="20" customFormat="1" ht="12">
      <c r="H238" s="19"/>
    </row>
    <row r="239" spans="2:5" s="20" customFormat="1" ht="15">
      <c r="B239" s="40" t="s">
        <v>399</v>
      </c>
      <c r="C239" s="28" t="s">
        <v>3</v>
      </c>
      <c r="D239" s="60">
        <f>$C$10*(1-3*$C$9)</f>
        <v>7</v>
      </c>
      <c r="E239" s="28" t="s">
        <v>400</v>
      </c>
    </row>
    <row r="240" spans="2:4" s="20" customFormat="1" ht="13.5">
      <c r="B240" s="25" t="s">
        <v>194</v>
      </c>
      <c r="C240" s="24"/>
      <c r="D240" s="48">
        <f>($C$235+$C$236*(I11/25)+$C$237*(I11/25)^2)*($D$243^($G$235+$G$236*$D$239))/($C$12-$D$243)</f>
        <v>1.1642218498400323</v>
      </c>
    </row>
    <row r="241" spans="2:4" s="20" customFormat="1" ht="13.5">
      <c r="B241" s="25" t="s">
        <v>195</v>
      </c>
      <c r="C241" s="24"/>
      <c r="D241" s="48">
        <f>(($C$22*$E$200)/($H$20*$C$24))*($D$239/($E$235+$E$236*$D$239))</f>
        <v>1.16423062499352</v>
      </c>
    </row>
    <row r="242" spans="2:5" s="20" customFormat="1" ht="13.5">
      <c r="B242" s="25" t="s">
        <v>196</v>
      </c>
      <c r="D242" s="48">
        <f>$D$240-$D$241</f>
        <v>-8.775153487627918E-06</v>
      </c>
      <c r="E242" s="46" t="s">
        <v>11</v>
      </c>
    </row>
    <row r="243" spans="2:7" s="20" customFormat="1" ht="15">
      <c r="B243" s="25" t="s">
        <v>302</v>
      </c>
      <c r="C243" s="24" t="s">
        <v>181</v>
      </c>
      <c r="D243" s="109">
        <v>5.183E-06</v>
      </c>
      <c r="E243" s="24" t="s">
        <v>162</v>
      </c>
      <c r="F243" s="24"/>
      <c r="G243" s="24" t="s">
        <v>313</v>
      </c>
    </row>
    <row r="244" spans="2:7" s="20" customFormat="1" ht="15">
      <c r="B244" s="28" t="s">
        <v>380</v>
      </c>
      <c r="C244" s="28" t="s">
        <v>350</v>
      </c>
      <c r="D244" s="119">
        <f>($C$235+$C$236*($I$11/25)+$C$237*($I$11/25)^2)*(($E$235+$E$236*$D$239)*$D$243^($G$235+$G$236*$D$239))/$E$200</f>
        <v>0.010899940562440395</v>
      </c>
      <c r="E244" s="70">
        <f>$D$244*100</f>
        <v>1.0899940562440396</v>
      </c>
      <c r="F244" s="28" t="s">
        <v>381</v>
      </c>
      <c r="G244" s="28" t="s">
        <v>163</v>
      </c>
    </row>
    <row r="245" spans="2:7" s="20" customFormat="1" ht="12">
      <c r="B245" s="63"/>
      <c r="C245" s="63"/>
      <c r="D245" s="62"/>
      <c r="E245" s="64"/>
      <c r="F245" s="63"/>
      <c r="G245" s="63"/>
    </row>
    <row r="246" s="20" customFormat="1" ht="12">
      <c r="F246" s="23"/>
    </row>
    <row r="247" spans="1:10" s="20" customFormat="1" ht="14.25">
      <c r="A247" s="44"/>
      <c r="B247" s="12" t="s">
        <v>216</v>
      </c>
      <c r="C247" s="44"/>
      <c r="D247" s="44"/>
      <c r="E247" s="44"/>
      <c r="F247" s="75"/>
      <c r="G247" s="44"/>
      <c r="H247" s="44"/>
      <c r="I247" s="44"/>
      <c r="J247" s="44"/>
    </row>
    <row r="248" spans="1:10" ht="14.25">
      <c r="A248" s="12"/>
      <c r="B248" s="12" t="s">
        <v>407</v>
      </c>
      <c r="C248" s="12"/>
      <c r="D248" s="12"/>
      <c r="E248" s="12"/>
      <c r="F248" s="76"/>
      <c r="G248" s="12"/>
      <c r="H248" s="77"/>
      <c r="I248" s="12"/>
      <c r="J248" s="78"/>
    </row>
    <row r="249" spans="1:10" ht="14.25">
      <c r="A249" s="12"/>
      <c r="B249" s="77"/>
      <c r="C249" s="77"/>
      <c r="D249" s="77"/>
      <c r="E249" s="77"/>
      <c r="F249" s="79"/>
      <c r="G249" s="77"/>
      <c r="H249" s="80"/>
      <c r="I249" s="77"/>
      <c r="J249" s="77"/>
    </row>
    <row r="250" spans="1:10" s="22" customFormat="1" ht="18.75">
      <c r="A250" s="81"/>
      <c r="B250" s="82" t="s">
        <v>285</v>
      </c>
      <c r="C250" s="83">
        <f>$I$140</f>
        <v>0.39999421662856516</v>
      </c>
      <c r="D250" s="81" t="s">
        <v>283</v>
      </c>
      <c r="E250" s="82" t="s">
        <v>202</v>
      </c>
      <c r="F250" s="92">
        <f>$C$22</f>
        <v>0.05</v>
      </c>
      <c r="G250" s="81" t="s">
        <v>13</v>
      </c>
      <c r="H250" s="82" t="s">
        <v>171</v>
      </c>
      <c r="I250" s="84">
        <f>$C$34</f>
        <v>4</v>
      </c>
      <c r="J250" s="85" t="s">
        <v>13</v>
      </c>
    </row>
    <row r="251" spans="1:10" s="20" customFormat="1" ht="18.75">
      <c r="A251" s="44"/>
      <c r="B251" s="86" t="s">
        <v>217</v>
      </c>
      <c r="C251" s="87">
        <f>$C$13</f>
        <v>1999.9872</v>
      </c>
      <c r="D251" s="44" t="s">
        <v>218</v>
      </c>
      <c r="E251" s="86" t="s">
        <v>5</v>
      </c>
      <c r="F251" s="87">
        <f>$C$23</f>
        <v>100</v>
      </c>
      <c r="G251" s="44" t="s">
        <v>13</v>
      </c>
      <c r="H251" s="86" t="s">
        <v>174</v>
      </c>
      <c r="I251" s="88">
        <f>$F$34</f>
        <v>2</v>
      </c>
      <c r="J251" s="85" t="s">
        <v>13</v>
      </c>
    </row>
    <row r="252" spans="1:10" s="20" customFormat="1" ht="17.25">
      <c r="A252" s="44"/>
      <c r="B252" s="19" t="s">
        <v>272</v>
      </c>
      <c r="C252" s="87">
        <f>$C$15</f>
        <v>1999.9872</v>
      </c>
      <c r="D252" s="44" t="s">
        <v>218</v>
      </c>
      <c r="E252" s="86" t="s">
        <v>4</v>
      </c>
      <c r="F252" s="87">
        <f>$C$24</f>
        <v>100</v>
      </c>
      <c r="G252" s="44" t="s">
        <v>13</v>
      </c>
      <c r="H252" s="86" t="s">
        <v>172</v>
      </c>
      <c r="I252" s="88">
        <f>$C$35</f>
        <v>4</v>
      </c>
      <c r="J252" s="85" t="s">
        <v>13</v>
      </c>
    </row>
    <row r="253" spans="1:10" s="20" customFormat="1" ht="18.75">
      <c r="A253" s="44"/>
      <c r="B253" s="86" t="s">
        <v>219</v>
      </c>
      <c r="C253" s="88">
        <f>$C$10</f>
        <v>10</v>
      </c>
      <c r="D253" s="44" t="s">
        <v>3</v>
      </c>
      <c r="E253" s="86" t="s">
        <v>203</v>
      </c>
      <c r="F253" s="87">
        <f>$C$21</f>
        <v>300</v>
      </c>
      <c r="G253" s="44" t="s">
        <v>221</v>
      </c>
      <c r="H253" s="86" t="s">
        <v>175</v>
      </c>
      <c r="I253" s="88">
        <f>$F$35</f>
        <v>4</v>
      </c>
      <c r="J253" s="85" t="s">
        <v>13</v>
      </c>
    </row>
    <row r="254" spans="1:10" s="20" customFormat="1" ht="18.75">
      <c r="A254" s="44"/>
      <c r="B254" s="86" t="s">
        <v>410</v>
      </c>
      <c r="C254" s="108">
        <f>$C$59</f>
        <v>9.977065498086025</v>
      </c>
      <c r="D254" s="44" t="s">
        <v>3</v>
      </c>
      <c r="H254" s="86" t="s">
        <v>173</v>
      </c>
      <c r="I254" s="85">
        <f>$C$36</f>
        <v>5</v>
      </c>
      <c r="J254" s="82"/>
    </row>
    <row r="255" spans="1:10" s="20" customFormat="1" ht="18.75">
      <c r="A255" s="44"/>
      <c r="B255" s="86" t="s">
        <v>220</v>
      </c>
      <c r="C255" s="88">
        <f>$C$11</f>
        <v>1</v>
      </c>
      <c r="D255" s="44" t="s">
        <v>3</v>
      </c>
      <c r="H255" s="91" t="s">
        <v>176</v>
      </c>
      <c r="I255" s="85">
        <f>$F$36</f>
        <v>2</v>
      </c>
      <c r="J255" s="81"/>
    </row>
    <row r="256" spans="1:10" s="20" customFormat="1" ht="14.25">
      <c r="A256" s="44"/>
      <c r="B256" s="86" t="s">
        <v>7</v>
      </c>
      <c r="C256" s="88">
        <f>$I$11</f>
        <v>25</v>
      </c>
      <c r="D256" s="44" t="s">
        <v>19</v>
      </c>
      <c r="H256" s="91"/>
      <c r="I256" s="85"/>
      <c r="J256" s="81"/>
    </row>
    <row r="257" spans="1:10" s="20" customFormat="1" ht="14.25">
      <c r="A257" s="44"/>
      <c r="B257" s="44"/>
      <c r="C257" s="44"/>
      <c r="D257" s="44"/>
      <c r="E257" s="44"/>
      <c r="F257" s="44"/>
      <c r="G257" s="44"/>
      <c r="H257" s="44"/>
      <c r="I257" s="83"/>
      <c r="J257" s="92"/>
    </row>
    <row r="258" spans="1:10" s="20" customFormat="1" ht="18.75">
      <c r="A258" s="44"/>
      <c r="B258" s="91" t="s">
        <v>222</v>
      </c>
      <c r="C258" s="89">
        <f>$C$53</f>
        <v>6.888708915697431E-08</v>
      </c>
      <c r="D258" s="81" t="s">
        <v>223</v>
      </c>
      <c r="E258" s="91" t="s">
        <v>224</v>
      </c>
      <c r="F258" s="90">
        <f>$C$56</f>
        <v>0.9075055703591844</v>
      </c>
      <c r="G258" s="44"/>
      <c r="H258" s="86" t="s">
        <v>225</v>
      </c>
      <c r="I258" s="87">
        <f>$E$208</f>
        <v>3819.6703761583685</v>
      </c>
      <c r="J258" s="44" t="s">
        <v>15</v>
      </c>
    </row>
    <row r="259" spans="1:10" s="20" customFormat="1" ht="18.75">
      <c r="A259" s="44"/>
      <c r="B259" s="86" t="s">
        <v>226</v>
      </c>
      <c r="C259" s="89">
        <f>$C$54</f>
        <v>1.146725095698679E-05</v>
      </c>
      <c r="D259" s="81" t="s">
        <v>227</v>
      </c>
      <c r="E259" s="86" t="s">
        <v>12</v>
      </c>
      <c r="F259" s="90">
        <f>$C$67</f>
        <v>0.3991738806167493</v>
      </c>
      <c r="G259" s="44"/>
      <c r="H259" s="86" t="s">
        <v>228</v>
      </c>
      <c r="I259" s="87">
        <f>$E$218</f>
        <v>5379.9955914123275</v>
      </c>
      <c r="J259" s="44" t="s">
        <v>15</v>
      </c>
    </row>
    <row r="260" spans="1:10" s="20" customFormat="1" ht="18.75">
      <c r="A260" s="44"/>
      <c r="B260" s="86" t="s">
        <v>229</v>
      </c>
      <c r="C260" s="87">
        <f>$C$45*1000</f>
        <v>1201.644548192173</v>
      </c>
      <c r="D260" s="44" t="s">
        <v>230</v>
      </c>
      <c r="E260" s="86" t="s">
        <v>17</v>
      </c>
      <c r="F260" s="90">
        <f>$C$68</f>
        <v>0.9070059543714569</v>
      </c>
      <c r="G260" s="82"/>
      <c r="H260" s="82" t="s">
        <v>231</v>
      </c>
      <c r="I260" s="87">
        <f>$E$222</f>
        <v>391.1032952147801</v>
      </c>
      <c r="J260" s="44" t="s">
        <v>15</v>
      </c>
    </row>
    <row r="261" spans="1:10" s="20" customFormat="1" ht="18.75">
      <c r="A261" s="44"/>
      <c r="B261" s="86" t="s">
        <v>232</v>
      </c>
      <c r="C261" s="85">
        <f>$E$51</f>
        <v>9749.375503251298</v>
      </c>
      <c r="D261" s="44" t="s">
        <v>409</v>
      </c>
      <c r="E261" s="82" t="s">
        <v>236</v>
      </c>
      <c r="F261" s="110">
        <f>$J$144</f>
        <v>0.16312732676476924</v>
      </c>
      <c r="G261" s="94" t="s">
        <v>237</v>
      </c>
      <c r="H261" s="82" t="s">
        <v>234</v>
      </c>
      <c r="I261" s="87">
        <f>$E$232</f>
        <v>1204.7808572367214</v>
      </c>
      <c r="J261" s="81" t="s">
        <v>15</v>
      </c>
    </row>
    <row r="262" spans="1:7" s="20" customFormat="1" ht="18.75">
      <c r="A262" s="44"/>
      <c r="B262" s="86" t="s">
        <v>235</v>
      </c>
      <c r="C262" s="85">
        <f>$E$52</f>
        <v>112886.67017582296</v>
      </c>
      <c r="D262" s="44" t="s">
        <v>409</v>
      </c>
      <c r="E262" s="86" t="s">
        <v>403</v>
      </c>
      <c r="F262" s="90">
        <f>$C$16*100</f>
        <v>0.7323999999999999</v>
      </c>
      <c r="G262" s="81" t="s">
        <v>239</v>
      </c>
    </row>
    <row r="263" spans="1:7" ht="18.75">
      <c r="A263" s="12"/>
      <c r="B263" s="12"/>
      <c r="C263" s="12"/>
      <c r="D263" s="12"/>
      <c r="E263" s="93" t="s">
        <v>238</v>
      </c>
      <c r="F263" s="90">
        <f>$E$244</f>
        <v>1.0899940562440396</v>
      </c>
      <c r="G263" s="81" t="s">
        <v>239</v>
      </c>
    </row>
    <row r="264" spans="1:7" ht="18.75">
      <c r="A264" s="12"/>
      <c r="B264" s="77"/>
      <c r="C264" s="96"/>
      <c r="D264" s="77"/>
      <c r="E264" s="95" t="s">
        <v>240</v>
      </c>
      <c r="F264" s="90">
        <f>$E$200</f>
        <v>0.789145435182626</v>
      </c>
      <c r="G264" s="84"/>
    </row>
    <row r="265" spans="3:10" ht="14.25">
      <c r="C265" s="7"/>
      <c r="E265" s="86" t="s">
        <v>213</v>
      </c>
      <c r="F265" s="90">
        <f>$B$200</f>
        <v>0.56991</v>
      </c>
      <c r="G265" s="97"/>
      <c r="J265" s="7"/>
    </row>
    <row r="266" spans="3:10" ht="12">
      <c r="C266" s="8"/>
      <c r="D266" s="2"/>
      <c r="H266" s="2"/>
      <c r="I266" s="3"/>
      <c r="J266" s="6"/>
    </row>
    <row r="267" spans="3:10" ht="12">
      <c r="C267" s="7"/>
      <c r="J267" s="7"/>
    </row>
    <row r="268" spans="3:10" ht="12">
      <c r="C268" s="9"/>
      <c r="J268" s="11"/>
    </row>
  </sheetData>
  <mergeCells count="2">
    <mergeCell ref="D189:E189"/>
    <mergeCell ref="B189:C189"/>
  </mergeCells>
  <printOptions/>
  <pageMargins left="0.3937007874015748" right="0.3937007874015748" top="0.7874015748031497" bottom="0.1968503937007874" header="0.5118110236220472" footer="0.5118110236220472"/>
  <pageSetup horizontalDpi="300" verticalDpi="300" orientation="landscape" paperSize="9" scale="80" r:id="rId1"/>
  <headerFooter alignWithMargins="0">
    <oddFooter>&amp;C&amp;P</oddFooter>
  </headerFooter>
  <rowBreaks count="7" manualBreakCount="7">
    <brk id="40" max="12" man="1"/>
    <brk id="79" max="12" man="1"/>
    <brk id="133" max="12" man="1"/>
    <brk id="187" max="12" man="1"/>
    <brk id="233" max="12" man="1"/>
    <brk id="245" max="12" man="1"/>
    <brk id="267" max="12" man="1"/>
  </rowBreaks>
  <colBreaks count="1" manualBreakCount="1">
    <brk id="13" min="1" max="2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田中良修</dc:creator>
  <cp:keywords/>
  <dc:description/>
  <cp:lastModifiedBy>tanaka</cp:lastModifiedBy>
  <cp:lastPrinted>2013-08-25T01:12:21Z</cp:lastPrinted>
  <dcterms:created xsi:type="dcterms:W3CDTF">2001-06-26T10:35:31Z</dcterms:created>
  <dcterms:modified xsi:type="dcterms:W3CDTF">2014-05-25T08:18:20Z</dcterms:modified>
  <cp:category/>
  <cp:version/>
  <cp:contentType/>
  <cp:contentStatus/>
</cp:coreProperties>
</file>