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'Sheet1'!$A$1:$O$50</definedName>
  </definedNames>
  <calcPr fullCalcOnLoad="1"/>
</workbook>
</file>

<file path=xl/sharedStrings.xml><?xml version="1.0" encoding="utf-8"?>
<sst xmlns="http://schemas.openxmlformats.org/spreadsheetml/2006/main" count="94" uniqueCount="84">
  <si>
    <r>
      <t>a</t>
    </r>
    <r>
      <rPr>
        <sz val="10"/>
        <color indexed="8"/>
        <rFont val="Times New Roman"/>
        <family val="1"/>
      </rPr>
      <t xml:space="preserve"> </t>
    </r>
  </si>
  <si>
    <t>cm</t>
  </si>
  <si>
    <t>flow-pass thickness</t>
  </si>
  <si>
    <r>
      <t>b</t>
    </r>
    <r>
      <rPr>
        <sz val="10"/>
        <color indexed="8"/>
        <rFont val="Times New Roman"/>
        <family val="1"/>
      </rPr>
      <t xml:space="preserve">  </t>
    </r>
  </si>
  <si>
    <t>flo-pass width</t>
  </si>
  <si>
    <t xml:space="preserve">l </t>
  </si>
  <si>
    <t>flow-pass length</t>
  </si>
  <si>
    <r>
      <t>u'</t>
    </r>
    <r>
      <rPr>
        <i/>
        <vertAlign val="subscript"/>
        <sz val="10"/>
        <color indexed="8"/>
        <rFont val="Times New Roman"/>
        <family val="1"/>
      </rPr>
      <t xml:space="preserve">in </t>
    </r>
  </si>
  <si>
    <t>cm/s</t>
  </si>
  <si>
    <t>cell</t>
  </si>
  <si>
    <r>
      <t>u"</t>
    </r>
    <r>
      <rPr>
        <i/>
        <vertAlign val="subscript"/>
        <sz val="10"/>
        <color indexed="8"/>
        <rFont val="Times New Roman"/>
        <family val="1"/>
      </rPr>
      <t>in</t>
    </r>
    <r>
      <rPr>
        <sz val="10"/>
        <color indexed="8"/>
        <rFont val="Times New Roman"/>
        <family val="1"/>
      </rPr>
      <t xml:space="preserve"> </t>
    </r>
  </si>
  <si>
    <r>
      <t>N</t>
    </r>
    <r>
      <rPr>
        <sz val="10"/>
        <rFont val="Times New Roman"/>
        <family val="1"/>
      </rPr>
      <t>+1</t>
    </r>
  </si>
  <si>
    <t>concentrating cell no.</t>
  </si>
  <si>
    <r>
      <t>Q'</t>
    </r>
    <r>
      <rPr>
        <i/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</t>
    </r>
  </si>
  <si>
    <r>
      <t>T</t>
    </r>
    <r>
      <rPr>
        <sz val="10"/>
        <color indexed="8"/>
        <rFont val="Times New Roman"/>
        <family val="1"/>
      </rPr>
      <t xml:space="preserve"> </t>
    </r>
  </si>
  <si>
    <t>℃</t>
  </si>
  <si>
    <r>
      <t>Q"</t>
    </r>
    <r>
      <rPr>
        <i/>
        <vertAlign val="subscript"/>
        <sz val="10"/>
        <rFont val="Times New Roman"/>
        <family val="1"/>
      </rPr>
      <t>in</t>
    </r>
    <r>
      <rPr>
        <sz val="10"/>
        <rFont val="Times New Roman"/>
        <family val="1"/>
      </rPr>
      <t xml:space="preserve"> </t>
    </r>
  </si>
  <si>
    <t>F</t>
  </si>
  <si>
    <t>As/eq</t>
  </si>
  <si>
    <t>α</t>
  </si>
  <si>
    <r>
      <t>Q'</t>
    </r>
    <r>
      <rPr>
        <i/>
        <vertAlign val="subscript"/>
        <sz val="10"/>
        <rFont val="Times New Roman"/>
        <family val="1"/>
      </rPr>
      <t>out,0</t>
    </r>
    <r>
      <rPr>
        <i/>
        <sz val="10"/>
        <rFont val="Times New Roman"/>
        <family val="1"/>
      </rPr>
      <t xml:space="preserve"> </t>
    </r>
  </si>
  <si>
    <t>No.</t>
  </si>
  <si>
    <t>t</t>
  </si>
  <si>
    <t>Q</t>
  </si>
  <si>
    <r>
      <t>C'</t>
    </r>
    <r>
      <rPr>
        <i/>
        <vertAlign val="subscript"/>
        <sz val="10"/>
        <rFont val="Times New Roman"/>
        <family val="1"/>
      </rPr>
      <t>in</t>
    </r>
  </si>
  <si>
    <t>η</t>
  </si>
  <si>
    <t>Re</t>
  </si>
  <si>
    <t>m</t>
  </si>
  <si>
    <r>
      <t>dm</t>
    </r>
    <r>
      <rPr>
        <vertAlign val="superscript"/>
        <sz val="9"/>
        <rFont val="Times New Roman"/>
        <family val="1"/>
      </rPr>
      <t>3</t>
    </r>
  </si>
  <si>
    <r>
      <t>mg/dm</t>
    </r>
    <r>
      <rPr>
        <vertAlign val="superscript"/>
        <sz val="9"/>
        <rFont val="Times New Roman"/>
        <family val="1"/>
      </rPr>
      <t>3</t>
    </r>
  </si>
  <si>
    <t>s</t>
  </si>
  <si>
    <r>
      <t>dm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/min</t>
    </r>
  </si>
  <si>
    <t>desalting cell no., cell pair no.</t>
  </si>
  <si>
    <t>Ｅ</t>
  </si>
  <si>
    <r>
      <t>kWh/m</t>
    </r>
    <r>
      <rPr>
        <vertAlign val="superscript"/>
        <sz val="9"/>
        <rFont val="Times New Roman"/>
        <family val="1"/>
      </rPr>
      <t>3</t>
    </r>
  </si>
  <si>
    <t>1. Fundamental parameters</t>
  </si>
  <si>
    <t xml:space="preserve">2. Computation </t>
  </si>
  <si>
    <t>σ</t>
  </si>
  <si>
    <t>standard deviation</t>
  </si>
  <si>
    <r>
      <t>I/S</t>
    </r>
    <r>
      <rPr>
        <i/>
        <vertAlign val="subscript"/>
        <sz val="10"/>
        <rFont val="Times New Roman"/>
        <family val="1"/>
      </rPr>
      <t>average</t>
    </r>
  </si>
  <si>
    <r>
      <t>A/dm</t>
    </r>
    <r>
      <rPr>
        <vertAlign val="superscript"/>
        <sz val="10"/>
        <rFont val="Times New Roman"/>
        <family val="1"/>
      </rPr>
      <t>2</t>
    </r>
  </si>
  <si>
    <r>
      <t>N*</t>
    </r>
    <r>
      <rPr>
        <sz val="10"/>
        <color indexed="10"/>
        <rFont val="Times New Roman"/>
        <family val="1"/>
      </rPr>
      <t xml:space="preserve">  </t>
    </r>
  </si>
  <si>
    <r>
      <t xml:space="preserve">adjust </t>
    </r>
    <r>
      <rPr>
        <i/>
        <sz val="10"/>
        <color indexed="10"/>
        <rFont val="Times New Roman"/>
        <family val="1"/>
      </rPr>
      <t>N*</t>
    </r>
    <r>
      <rPr>
        <sz val="10"/>
        <color indexed="10"/>
        <rFont val="Times New Roman"/>
        <family val="1"/>
      </rPr>
      <t xml:space="preserve"> to realize </t>
    </r>
    <r>
      <rPr>
        <i/>
        <sz val="10"/>
        <color indexed="10"/>
        <rFont val="Times New Roman"/>
        <family val="1"/>
      </rPr>
      <t>C'</t>
    </r>
    <r>
      <rPr>
        <i/>
        <vertAlign val="subscript"/>
        <sz val="10"/>
        <color indexed="10"/>
        <rFont val="Times New Roman"/>
        <family val="1"/>
      </rPr>
      <t>in</t>
    </r>
    <r>
      <rPr>
        <sz val="10"/>
        <color indexed="10"/>
        <rFont val="Times New Roman"/>
        <family val="1"/>
      </rPr>
      <t xml:space="preserve"> = 400 mg/dm</t>
    </r>
    <r>
      <rPr>
        <vertAlign val="superscript"/>
        <sz val="10"/>
        <color indexed="10"/>
        <rFont val="Times New Roman"/>
        <family val="1"/>
      </rPr>
      <t>3</t>
    </r>
    <r>
      <rPr>
        <sz val="10"/>
        <color indexed="10"/>
        <rFont val="Times New Roman"/>
        <family val="1"/>
      </rPr>
      <t xml:space="preserve"> at </t>
    </r>
    <r>
      <rPr>
        <i/>
        <sz val="10"/>
        <color indexed="10"/>
        <rFont val="Times New Roman"/>
        <family val="1"/>
      </rPr>
      <t xml:space="preserve">t </t>
    </r>
    <r>
      <rPr>
        <sz val="10"/>
        <color indexed="10"/>
        <rFont val="Times New Roman"/>
        <family val="1"/>
      </rPr>
      <t>= 60 min.</t>
    </r>
  </si>
  <si>
    <t>cell, pair</t>
  </si>
  <si>
    <r>
      <t>dm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</t>
    </r>
    <r>
      <rPr>
        <i/>
        <sz val="10"/>
        <rFont val="ＭＳ Ｐ明朝"/>
        <family val="1"/>
      </rPr>
      <t>Δ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min</t>
    </r>
  </si>
  <si>
    <t>Batch program for drinking water production</t>
  </si>
  <si>
    <r>
      <t>α</t>
    </r>
    <r>
      <rPr>
        <i/>
        <vertAlign val="subscript"/>
        <sz val="10"/>
        <rFont val="Times New Roman"/>
        <family val="1"/>
      </rPr>
      <t>1</t>
    </r>
  </si>
  <si>
    <r>
      <t>α</t>
    </r>
    <r>
      <rPr>
        <i/>
        <vertAlign val="subscript"/>
        <sz val="10"/>
        <rFont val="ＭＳ Ｐ明朝"/>
        <family val="1"/>
      </rPr>
      <t>2</t>
    </r>
  </si>
  <si>
    <r>
      <t>β</t>
    </r>
    <r>
      <rPr>
        <i/>
        <vertAlign val="subscript"/>
        <sz val="10"/>
        <rFont val="Times New Roman"/>
        <family val="1"/>
      </rPr>
      <t>1</t>
    </r>
  </si>
  <si>
    <r>
      <t>β</t>
    </r>
    <r>
      <rPr>
        <i/>
        <vertAlign val="subscript"/>
        <sz val="10"/>
        <rFont val="Times New Roman"/>
        <family val="1"/>
      </rPr>
      <t>2</t>
    </r>
  </si>
  <si>
    <r>
      <t>γ</t>
    </r>
    <r>
      <rPr>
        <i/>
        <vertAlign val="subscript"/>
        <sz val="10"/>
        <rFont val="ＭＳ Ｐ明朝"/>
        <family val="1"/>
      </rPr>
      <t>1</t>
    </r>
  </si>
  <si>
    <r>
      <t>γ</t>
    </r>
    <r>
      <rPr>
        <i/>
        <vertAlign val="subscript"/>
        <sz val="10"/>
        <rFont val="ＭＳ Ｐ明朝"/>
        <family val="1"/>
      </rPr>
      <t>2</t>
    </r>
  </si>
  <si>
    <r>
      <t>γ</t>
    </r>
    <r>
      <rPr>
        <i/>
        <vertAlign val="subscript"/>
        <sz val="10"/>
        <rFont val="ＭＳ Ｐ明朝"/>
        <family val="1"/>
      </rPr>
      <t>3</t>
    </r>
  </si>
  <si>
    <r>
      <t>δ</t>
    </r>
    <r>
      <rPr>
        <i/>
        <vertAlign val="subscript"/>
        <sz val="10"/>
        <rFont val="ＭＳ Ｐ明朝"/>
        <family val="1"/>
      </rPr>
      <t>1</t>
    </r>
  </si>
  <si>
    <r>
      <t>δ</t>
    </r>
    <r>
      <rPr>
        <i/>
        <vertAlign val="subscript"/>
        <sz val="10"/>
        <rFont val="ＭＳ Ｐ明朝"/>
        <family val="1"/>
      </rPr>
      <t>2</t>
    </r>
  </si>
  <si>
    <r>
      <t>ε</t>
    </r>
    <r>
      <rPr>
        <i/>
        <vertAlign val="subscript"/>
        <sz val="10"/>
        <rFont val="ＭＳ Ｐ明朝"/>
        <family val="1"/>
      </rPr>
      <t>1</t>
    </r>
  </si>
  <si>
    <r>
      <t>ε</t>
    </r>
    <r>
      <rPr>
        <i/>
        <vertAlign val="subscript"/>
        <sz val="10"/>
        <rFont val="ＭＳ Ｐ明朝"/>
        <family val="1"/>
      </rPr>
      <t>2</t>
    </r>
  </si>
  <si>
    <r>
      <t>C'</t>
    </r>
    <r>
      <rPr>
        <i/>
        <vertAlign val="subscript"/>
        <sz val="10"/>
        <color indexed="8"/>
        <rFont val="Times New Roman"/>
        <family val="1"/>
      </rPr>
      <t>out</t>
    </r>
  </si>
  <si>
    <r>
      <t>C"</t>
    </r>
    <r>
      <rPr>
        <i/>
        <vertAlign val="subscript"/>
        <sz val="10"/>
        <color indexed="8"/>
        <rFont val="Times New Roman"/>
        <family val="1"/>
      </rPr>
      <t>out</t>
    </r>
  </si>
  <si>
    <r>
      <t>Q'</t>
    </r>
    <r>
      <rPr>
        <i/>
        <vertAlign val="subscript"/>
        <sz val="10"/>
        <color indexed="8"/>
        <rFont val="Times New Roman"/>
        <family val="1"/>
      </rPr>
      <t>out</t>
    </r>
  </si>
  <si>
    <t>I/S</t>
  </si>
  <si>
    <r>
      <t>J</t>
    </r>
    <r>
      <rPr>
        <i/>
        <vertAlign val="subscript"/>
        <sz val="10"/>
        <color indexed="8"/>
        <rFont val="Times New Roman"/>
        <family val="1"/>
      </rPr>
      <t>S</t>
    </r>
  </si>
  <si>
    <r>
      <t>mg/dm</t>
    </r>
    <r>
      <rPr>
        <vertAlign val="superscript"/>
        <sz val="9"/>
        <color indexed="8"/>
        <rFont val="Times New Roman"/>
        <family val="1"/>
      </rPr>
      <t>3</t>
    </r>
  </si>
  <si>
    <r>
      <t>dm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/</t>
    </r>
    <r>
      <rPr>
        <i/>
        <sz val="9"/>
        <color indexed="8"/>
        <rFont val="Times New Roman"/>
        <family val="1"/>
      </rPr>
      <t>Δt</t>
    </r>
    <r>
      <rPr>
        <sz val="9"/>
        <color indexed="8"/>
        <rFont val="Times New Roman"/>
        <family val="1"/>
      </rPr>
      <t>min</t>
    </r>
  </si>
  <si>
    <r>
      <t>A/cm</t>
    </r>
    <r>
      <rPr>
        <vertAlign val="superscript"/>
        <sz val="9"/>
        <color indexed="8"/>
        <rFont val="Times New Roman"/>
        <family val="1"/>
      </rPr>
      <t>2</t>
    </r>
  </si>
  <si>
    <r>
      <t>eq/cm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s</t>
    </r>
  </si>
  <si>
    <r>
      <t>C'</t>
    </r>
    <r>
      <rPr>
        <i/>
        <vertAlign val="subscript"/>
        <sz val="10"/>
        <color indexed="8"/>
        <rFont val="Times New Roman"/>
        <family val="1"/>
      </rPr>
      <t>out,0</t>
    </r>
    <r>
      <rPr>
        <sz val="10"/>
        <color indexed="8"/>
        <rFont val="Times New Roman"/>
        <family val="1"/>
      </rPr>
      <t xml:space="preserve"> </t>
    </r>
  </si>
  <si>
    <r>
      <t>mg/dm</t>
    </r>
    <r>
      <rPr>
        <vertAlign val="superscript"/>
        <sz val="10"/>
        <color indexed="8"/>
        <rFont val="Times New Roman"/>
        <family val="1"/>
      </rPr>
      <t>3</t>
    </r>
  </si>
  <si>
    <r>
      <t>C"</t>
    </r>
    <r>
      <rPr>
        <i/>
        <vertAlign val="subscript"/>
        <sz val="10"/>
        <color indexed="8"/>
        <rFont val="Times New Roman"/>
        <family val="1"/>
      </rPr>
      <t>out,0</t>
    </r>
    <r>
      <rPr>
        <sz val="10"/>
        <color indexed="8"/>
        <rFont val="Times New Roman"/>
        <family val="1"/>
      </rPr>
      <t xml:space="preserve"> </t>
    </r>
  </si>
  <si>
    <r>
      <t>u'</t>
    </r>
    <r>
      <rPr>
        <i/>
        <vertAlign val="subscript"/>
        <sz val="10"/>
        <color indexed="8"/>
        <rFont val="Times New Roman"/>
        <family val="1"/>
      </rPr>
      <t>out,0</t>
    </r>
    <r>
      <rPr>
        <sz val="10"/>
        <color indexed="8"/>
        <rFont val="Times New Roman"/>
        <family val="1"/>
      </rPr>
      <t xml:space="preserve"> </t>
    </r>
  </si>
  <si>
    <t>cm/s</t>
  </si>
  <si>
    <r>
      <t>Δ</t>
    </r>
    <r>
      <rPr>
        <i/>
        <sz val="10"/>
        <color indexed="20"/>
        <rFont val="Times New Roman"/>
        <family val="1"/>
      </rPr>
      <t>t</t>
    </r>
  </si>
  <si>
    <t>min</t>
  </si>
  <si>
    <t>input</t>
  </si>
  <si>
    <t>interval</t>
  </si>
  <si>
    <r>
      <t>C</t>
    </r>
    <r>
      <rPr>
        <i/>
        <vertAlign val="superscript"/>
        <sz val="10"/>
        <color indexed="20"/>
        <rFont val="Times New Roman"/>
        <family val="1"/>
      </rPr>
      <t>0</t>
    </r>
  </si>
  <si>
    <r>
      <t>mg/dm</t>
    </r>
    <r>
      <rPr>
        <vertAlign val="superscript"/>
        <sz val="10"/>
        <color indexed="20"/>
        <rFont val="Times New Roman"/>
        <family val="1"/>
      </rPr>
      <t>3</t>
    </r>
  </si>
  <si>
    <t>input</t>
  </si>
  <si>
    <r>
      <t>C'</t>
    </r>
    <r>
      <rPr>
        <i/>
        <vertAlign val="subscript"/>
        <sz val="10"/>
        <color indexed="20"/>
        <rFont val="Times New Roman"/>
        <family val="1"/>
      </rPr>
      <t>in,0</t>
    </r>
    <r>
      <rPr>
        <sz val="10"/>
        <color indexed="20"/>
        <rFont val="Times New Roman"/>
        <family val="1"/>
      </rPr>
      <t xml:space="preserve"> = </t>
    </r>
    <r>
      <rPr>
        <i/>
        <sz val="10"/>
        <color indexed="20"/>
        <rFont val="Times New Roman"/>
        <family val="1"/>
      </rPr>
      <t>C</t>
    </r>
    <r>
      <rPr>
        <i/>
        <vertAlign val="superscript"/>
        <sz val="10"/>
        <color indexed="20"/>
        <rFont val="Times New Roman"/>
        <family val="1"/>
      </rPr>
      <t>0</t>
    </r>
  </si>
  <si>
    <r>
      <t>Q</t>
    </r>
    <r>
      <rPr>
        <i/>
        <vertAlign val="subscript"/>
        <sz val="10"/>
        <color indexed="20"/>
        <rFont val="Times New Roman"/>
        <family val="1"/>
      </rPr>
      <t>0</t>
    </r>
    <r>
      <rPr>
        <sz val="10"/>
        <color indexed="20"/>
        <rFont val="Times New Roman"/>
        <family val="1"/>
      </rPr>
      <t xml:space="preserve"> </t>
    </r>
  </si>
  <si>
    <r>
      <t>dm</t>
    </r>
    <r>
      <rPr>
        <vertAlign val="superscript"/>
        <sz val="10"/>
        <color indexed="20"/>
        <rFont val="Times New Roman"/>
        <family val="1"/>
      </rPr>
      <t>3</t>
    </r>
  </si>
  <si>
    <r>
      <t>V</t>
    </r>
    <r>
      <rPr>
        <i/>
        <vertAlign val="subscript"/>
        <sz val="10"/>
        <color indexed="20"/>
        <rFont val="Times New Roman"/>
        <family val="1"/>
      </rPr>
      <t>cell</t>
    </r>
    <r>
      <rPr>
        <sz val="10"/>
        <color indexed="20"/>
        <rFont val="Times New Roman"/>
        <family val="1"/>
      </rPr>
      <t xml:space="preserve"> </t>
    </r>
  </si>
  <si>
    <t>V/pair</t>
  </si>
  <si>
    <t>Companion site 6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</si>
</sst>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E+00"/>
    <numFmt numFmtId="178" formatCode="0.00000_ "/>
    <numFmt numFmtId="179" formatCode="0_ "/>
    <numFmt numFmtId="180" formatCode="0.0000E+00"/>
    <numFmt numFmtId="181" formatCode="0.00_ "/>
    <numFmt numFmtId="182" formatCode="0.000000000_ "/>
    <numFmt numFmtId="183" formatCode="0.0000_ "/>
    <numFmt numFmtId="184" formatCode="0.00_);[Red]\(0.00\)"/>
    <numFmt numFmtId="185" formatCode="0.000_ "/>
    <numFmt numFmtId="186" formatCode="0_);[Red]\(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ＭＳ Ｐ明朝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ＭＳ Ｐゴシック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ＭＳ Ｐ明朝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sz val="10"/>
      <color indexed="8"/>
      <name val="ＭＳ Ｐゴシック"/>
      <family val="3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i/>
      <vertAlign val="subscript"/>
      <sz val="10"/>
      <color indexed="10"/>
      <name val="Times New Roman"/>
      <family val="1"/>
    </font>
    <font>
      <i/>
      <vertAlign val="subscript"/>
      <sz val="10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20"/>
      <name val="ＭＳ Ｐ明朝"/>
      <family val="1"/>
    </font>
    <font>
      <i/>
      <sz val="10"/>
      <color indexed="20"/>
      <name val="Times New Roman"/>
      <family val="1"/>
    </font>
    <font>
      <sz val="10"/>
      <color indexed="20"/>
      <name val="Times New Roman"/>
      <family val="1"/>
    </font>
    <font>
      <i/>
      <vertAlign val="superscript"/>
      <sz val="10"/>
      <color indexed="20"/>
      <name val="Times New Roman"/>
      <family val="1"/>
    </font>
    <font>
      <vertAlign val="superscript"/>
      <sz val="10"/>
      <color indexed="20"/>
      <name val="Times New Roman"/>
      <family val="1"/>
    </font>
    <font>
      <i/>
      <vertAlign val="subscript"/>
      <sz val="10"/>
      <color indexed="2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184" fontId="10" fillId="0" borderId="0" xfId="0" applyNumberFormat="1" applyFont="1" applyAlignment="1">
      <alignment vertical="center"/>
    </xf>
    <xf numFmtId="184" fontId="7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81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84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6" fontId="2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3" fontId="13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86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84" fontId="29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86" fontId="33" fillId="0" borderId="0" xfId="0" applyNumberFormat="1" applyFont="1" applyAlignment="1">
      <alignment vertical="center"/>
    </xf>
    <xf numFmtId="184" fontId="33" fillId="0" borderId="0" xfId="0" applyNumberFormat="1" applyFont="1" applyAlignment="1">
      <alignment vertical="center"/>
    </xf>
    <xf numFmtId="181" fontId="33" fillId="0" borderId="0" xfId="0" applyNumberFormat="1" applyFont="1" applyAlignment="1">
      <alignment vertical="center"/>
    </xf>
    <xf numFmtId="177" fontId="33" fillId="0" borderId="0" xfId="0" applyNumberFormat="1" applyFont="1" applyAlignment="1">
      <alignment vertical="center"/>
    </xf>
    <xf numFmtId="183" fontId="33" fillId="0" borderId="0" xfId="0" applyNumberFormat="1" applyFont="1" applyAlignment="1">
      <alignment vertical="center"/>
    </xf>
    <xf numFmtId="185" fontId="13" fillId="0" borderId="0" xfId="0" applyNumberFormat="1" applyFont="1" applyAlignment="1">
      <alignment vertical="center"/>
    </xf>
    <xf numFmtId="179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181" fontId="29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3.5"/>
  <cols>
    <col min="1" max="1" width="2.625" style="1" customWidth="1"/>
    <col min="2" max="2" width="4.875" style="1" customWidth="1"/>
    <col min="3" max="3" width="3.875" style="1" customWidth="1"/>
    <col min="4" max="4" width="8.625" style="15" customWidth="1"/>
    <col min="5" max="5" width="7.125" style="1" customWidth="1"/>
    <col min="6" max="6" width="8.125" style="1" customWidth="1"/>
    <col min="7" max="7" width="8.625" style="1" customWidth="1"/>
    <col min="8" max="8" width="7.625" style="1" customWidth="1"/>
    <col min="9" max="10" width="8.875" style="1" customWidth="1"/>
    <col min="11" max="12" width="7.625" style="1" customWidth="1"/>
    <col min="13" max="13" width="8.25390625" style="1" customWidth="1"/>
    <col min="14" max="14" width="7.625" style="1" customWidth="1"/>
    <col min="15" max="15" width="7.25390625" style="1" customWidth="1"/>
    <col min="16" max="16384" width="9.00390625" style="1" customWidth="1"/>
  </cols>
  <sheetData>
    <row r="1" ht="15.75">
      <c r="A1" s="7" t="s">
        <v>83</v>
      </c>
    </row>
    <row r="2" spans="1:14" ht="15.75">
      <c r="A2" s="6" t="s">
        <v>45</v>
      </c>
      <c r="B2" s="7"/>
      <c r="C2" s="7"/>
      <c r="D2" s="16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6"/>
      <c r="B3" s="7"/>
      <c r="C3" s="7"/>
      <c r="D3" s="16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>
      <c r="A4" s="6" t="s">
        <v>35</v>
      </c>
      <c r="B4" s="7"/>
      <c r="C4" s="7"/>
      <c r="D4" s="16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>
      <c r="A5" s="6"/>
      <c r="B5" s="23" t="s">
        <v>7</v>
      </c>
      <c r="D5" s="22">
        <v>10</v>
      </c>
      <c r="E5" s="21" t="s">
        <v>8</v>
      </c>
      <c r="F5" s="7"/>
      <c r="H5" s="4" t="s">
        <v>46</v>
      </c>
      <c r="J5" s="28">
        <v>1.288</v>
      </c>
      <c r="L5" s="4" t="s">
        <v>53</v>
      </c>
      <c r="M5" s="3">
        <v>4.288E-05</v>
      </c>
      <c r="N5" s="7"/>
    </row>
    <row r="6" spans="1:14" ht="15.75">
      <c r="A6" s="6"/>
      <c r="B6" s="23" t="s">
        <v>10</v>
      </c>
      <c r="D6" s="22">
        <v>1</v>
      </c>
      <c r="E6" s="21" t="s">
        <v>8</v>
      </c>
      <c r="F6" s="7"/>
      <c r="H6" s="4" t="s">
        <v>47</v>
      </c>
      <c r="J6" s="28">
        <v>1.087</v>
      </c>
      <c r="L6" s="4" t="s">
        <v>54</v>
      </c>
      <c r="M6" s="3">
        <v>0.002228</v>
      </c>
      <c r="N6" s="7"/>
    </row>
    <row r="7" spans="1:14" ht="15.75">
      <c r="A7" s="6"/>
      <c r="B7" s="23" t="s">
        <v>0</v>
      </c>
      <c r="D7" s="47">
        <v>0.05</v>
      </c>
      <c r="E7" s="21" t="s">
        <v>1</v>
      </c>
      <c r="F7" s="1" t="s">
        <v>2</v>
      </c>
      <c r="H7" s="4" t="s">
        <v>48</v>
      </c>
      <c r="J7" s="27">
        <v>2116</v>
      </c>
      <c r="L7" s="4" t="s">
        <v>55</v>
      </c>
      <c r="M7" s="3">
        <v>4.036E-10</v>
      </c>
      <c r="N7" s="7"/>
    </row>
    <row r="8" spans="1:14" ht="15.75">
      <c r="A8" s="6"/>
      <c r="B8" s="23" t="s">
        <v>3</v>
      </c>
      <c r="D8" s="48">
        <v>100</v>
      </c>
      <c r="E8" s="21" t="s">
        <v>1</v>
      </c>
      <c r="F8" s="1" t="s">
        <v>4</v>
      </c>
      <c r="H8" s="4" t="s">
        <v>49</v>
      </c>
      <c r="J8" s="14">
        <v>44.47</v>
      </c>
      <c r="L8" s="4" t="s">
        <v>56</v>
      </c>
      <c r="M8" s="3">
        <v>2.113E-08</v>
      </c>
      <c r="N8" s="7"/>
    </row>
    <row r="9" spans="1:14" ht="15.75">
      <c r="A9" s="6"/>
      <c r="B9" s="23" t="s">
        <v>5</v>
      </c>
      <c r="D9" s="48">
        <v>100</v>
      </c>
      <c r="E9" s="21" t="s">
        <v>1</v>
      </c>
      <c r="F9" s="1" t="s">
        <v>6</v>
      </c>
      <c r="H9" s="4" t="s">
        <v>50</v>
      </c>
      <c r="J9" s="28">
        <v>10</v>
      </c>
      <c r="L9" s="7"/>
      <c r="M9" s="7"/>
      <c r="N9" s="7"/>
    </row>
    <row r="10" spans="1:14" ht="15.75">
      <c r="A10" s="6"/>
      <c r="B10" s="23" t="s">
        <v>14</v>
      </c>
      <c r="D10" s="49">
        <v>25</v>
      </c>
      <c r="E10" s="24" t="s">
        <v>15</v>
      </c>
      <c r="F10" s="7"/>
      <c r="G10" s="7"/>
      <c r="H10" s="4" t="s">
        <v>51</v>
      </c>
      <c r="J10" s="3">
        <v>0.008451</v>
      </c>
      <c r="K10" s="7"/>
      <c r="L10" s="7"/>
      <c r="M10" s="7"/>
      <c r="N10" s="7"/>
    </row>
    <row r="11" spans="1:14" ht="15.75">
      <c r="A11" s="6"/>
      <c r="B11" s="2" t="s">
        <v>17</v>
      </c>
      <c r="D11" s="1">
        <v>96485</v>
      </c>
      <c r="E11" s="1" t="s">
        <v>18</v>
      </c>
      <c r="F11" s="7"/>
      <c r="G11" s="7"/>
      <c r="H11" s="4" t="s">
        <v>52</v>
      </c>
      <c r="J11" s="3">
        <v>0.00013178</v>
      </c>
      <c r="K11" s="7"/>
      <c r="L11" s="7"/>
      <c r="M11" s="7"/>
      <c r="N11" s="7"/>
    </row>
    <row r="12" spans="1:14" ht="15.75">
      <c r="A12" s="6"/>
      <c r="B12" s="4" t="s">
        <v>37</v>
      </c>
      <c r="D12" s="15">
        <v>0.1</v>
      </c>
      <c r="E12" s="7"/>
      <c r="F12" s="31" t="s">
        <v>38</v>
      </c>
      <c r="G12" s="7"/>
      <c r="H12" s="7"/>
      <c r="I12" s="7"/>
      <c r="J12" s="7"/>
      <c r="K12" s="7"/>
      <c r="L12" s="7"/>
      <c r="M12" s="7"/>
      <c r="N12" s="7"/>
    </row>
    <row r="13" ht="12.75">
      <c r="D13" s="1"/>
    </row>
    <row r="14" spans="1:4" ht="17.25" customHeight="1">
      <c r="A14" s="7" t="s">
        <v>36</v>
      </c>
      <c r="D14" s="1"/>
    </row>
    <row r="15" spans="2:13" ht="15.75">
      <c r="B15" s="39" t="s">
        <v>75</v>
      </c>
      <c r="C15" s="38"/>
      <c r="D15" s="40">
        <v>2000</v>
      </c>
      <c r="E15" s="38" t="s">
        <v>76</v>
      </c>
      <c r="F15" s="38" t="s">
        <v>77</v>
      </c>
      <c r="G15" s="25" t="s">
        <v>41</v>
      </c>
      <c r="H15" s="26">
        <v>635.505</v>
      </c>
      <c r="I15" s="26" t="s">
        <v>43</v>
      </c>
      <c r="J15" s="30" t="s">
        <v>32</v>
      </c>
      <c r="L15" s="26"/>
      <c r="M15" s="26"/>
    </row>
    <row r="16" spans="2:7" ht="15.75">
      <c r="B16" s="39" t="s">
        <v>78</v>
      </c>
      <c r="C16" s="38"/>
      <c r="D16" s="40">
        <v>2000</v>
      </c>
      <c r="E16" s="38" t="s">
        <v>76</v>
      </c>
      <c r="F16" s="38" t="s">
        <v>77</v>
      </c>
      <c r="G16" s="26" t="s">
        <v>42</v>
      </c>
    </row>
    <row r="17" spans="2:10" ht="15.75">
      <c r="B17" s="39" t="s">
        <v>79</v>
      </c>
      <c r="C17" s="38"/>
      <c r="D17" s="40">
        <v>30000</v>
      </c>
      <c r="E17" s="38" t="s">
        <v>80</v>
      </c>
      <c r="F17" s="38" t="s">
        <v>77</v>
      </c>
      <c r="G17" s="2" t="s">
        <v>11</v>
      </c>
      <c r="H17" s="1">
        <f>$H$15+1</f>
        <v>636.505</v>
      </c>
      <c r="I17" s="1" t="s">
        <v>9</v>
      </c>
      <c r="J17" s="19" t="s">
        <v>12</v>
      </c>
    </row>
    <row r="18" spans="2:11" ht="14.25">
      <c r="B18" s="39" t="s">
        <v>81</v>
      </c>
      <c r="C18" s="38"/>
      <c r="D18" s="50">
        <v>0.4</v>
      </c>
      <c r="E18" s="38" t="s">
        <v>82</v>
      </c>
      <c r="F18" s="38" t="s">
        <v>77</v>
      </c>
      <c r="G18" s="36" t="s">
        <v>71</v>
      </c>
      <c r="H18" s="37">
        <v>4</v>
      </c>
      <c r="I18" s="38" t="s">
        <v>72</v>
      </c>
      <c r="J18" s="38" t="s">
        <v>73</v>
      </c>
      <c r="K18" s="38" t="s">
        <v>74</v>
      </c>
    </row>
    <row r="19" spans="7:9" ht="15.75">
      <c r="G19" s="2" t="s">
        <v>13</v>
      </c>
      <c r="H19" s="15">
        <f>$D$5*$D$7*$D$8*$H$15*60*$H$18/1000</f>
        <v>7626.06</v>
      </c>
      <c r="I19" s="1" t="s">
        <v>44</v>
      </c>
    </row>
    <row r="20" spans="2:9" ht="15.75">
      <c r="B20" s="23" t="s">
        <v>66</v>
      </c>
      <c r="C20" s="21"/>
      <c r="D20" s="20">
        <f>($J$5-$J$6*$D$18^0.5)*$D$16</f>
        <v>1201.0416733587888</v>
      </c>
      <c r="E20" s="21" t="s">
        <v>67</v>
      </c>
      <c r="G20" s="2" t="s">
        <v>16</v>
      </c>
      <c r="H20" s="15">
        <f>$D$6*$D$7*$D$8*$H$17*60/1000</f>
        <v>190.9515</v>
      </c>
      <c r="I20" s="1" t="s">
        <v>31</v>
      </c>
    </row>
    <row r="21" spans="2:9" ht="15.75">
      <c r="B21" s="23" t="s">
        <v>68</v>
      </c>
      <c r="C21" s="21"/>
      <c r="D21" s="20">
        <f>$D$15-($J$7-$J$8*$D$16^0.8)*$D$18^0.9</f>
        <v>9598.376831835501</v>
      </c>
      <c r="E21" s="21" t="s">
        <v>67</v>
      </c>
      <c r="G21" s="23" t="s">
        <v>69</v>
      </c>
      <c r="H21" s="35">
        <f>$J$9+$J$10*$D$18^1.4-$J$11*$D$18^0.9*$D$16^0.8</f>
        <v>9.977077630408617</v>
      </c>
      <c r="I21" s="21" t="s">
        <v>70</v>
      </c>
    </row>
    <row r="22" spans="2:9" ht="15.75">
      <c r="B22" s="2"/>
      <c r="D22" s="20"/>
      <c r="G22" s="2" t="s">
        <v>20</v>
      </c>
      <c r="H22" s="20">
        <f>$H$21*$D$7*$D$8*$H$15*60*$H$18/1000</f>
        <v>7608.579263415393</v>
      </c>
      <c r="I22" s="1" t="s">
        <v>44</v>
      </c>
    </row>
    <row r="23" spans="1:14" ht="15.75">
      <c r="A23" s="7"/>
      <c r="B23" s="7"/>
      <c r="C23" s="9"/>
      <c r="D23" s="16"/>
      <c r="E23" s="7"/>
      <c r="F23" s="10"/>
      <c r="G23" s="7"/>
      <c r="H23" s="7"/>
      <c r="I23" s="7"/>
      <c r="J23" s="7"/>
      <c r="K23" s="7"/>
      <c r="L23" s="7"/>
      <c r="M23" s="7"/>
      <c r="N23" s="7"/>
    </row>
    <row r="24" spans="1:15" ht="14.25">
      <c r="A24" s="12" t="s">
        <v>21</v>
      </c>
      <c r="B24" s="8" t="s">
        <v>22</v>
      </c>
      <c r="C24" s="8"/>
      <c r="D24" s="18" t="s">
        <v>23</v>
      </c>
      <c r="E24" s="8" t="s">
        <v>24</v>
      </c>
      <c r="F24" s="33" t="s">
        <v>57</v>
      </c>
      <c r="G24" s="33" t="s">
        <v>58</v>
      </c>
      <c r="H24" s="33" t="s">
        <v>59</v>
      </c>
      <c r="I24" s="33" t="s">
        <v>60</v>
      </c>
      <c r="J24" s="33" t="s">
        <v>61</v>
      </c>
      <c r="K24" s="13" t="s">
        <v>25</v>
      </c>
      <c r="L24" s="13" t="s">
        <v>19</v>
      </c>
      <c r="M24" s="8" t="s">
        <v>26</v>
      </c>
      <c r="N24" s="13" t="s">
        <v>33</v>
      </c>
      <c r="O24" s="2" t="s">
        <v>39</v>
      </c>
    </row>
    <row r="25" spans="1:15" ht="15.75">
      <c r="A25" s="12"/>
      <c r="B25" s="12" t="s">
        <v>30</v>
      </c>
      <c r="C25" s="12" t="s">
        <v>27</v>
      </c>
      <c r="D25" s="17" t="s">
        <v>28</v>
      </c>
      <c r="E25" s="11" t="s">
        <v>29</v>
      </c>
      <c r="F25" s="34" t="s">
        <v>62</v>
      </c>
      <c r="G25" s="34" t="s">
        <v>62</v>
      </c>
      <c r="H25" s="34" t="s">
        <v>63</v>
      </c>
      <c r="I25" s="34" t="s">
        <v>64</v>
      </c>
      <c r="J25" s="34" t="s">
        <v>65</v>
      </c>
      <c r="K25" s="11"/>
      <c r="L25" s="11"/>
      <c r="M25" s="11"/>
      <c r="N25" s="11" t="s">
        <v>34</v>
      </c>
      <c r="O25" s="12" t="s">
        <v>40</v>
      </c>
    </row>
    <row r="26" spans="1:15" ht="12.75">
      <c r="A26" s="1">
        <v>1</v>
      </c>
      <c r="B26" s="1">
        <f>60*$C26</f>
        <v>240</v>
      </c>
      <c r="C26" s="32">
        <f>$H$18</f>
        <v>4</v>
      </c>
      <c r="D26" s="22">
        <f>$D$17-$H$19+$H$22</f>
        <v>29982.519263415394</v>
      </c>
      <c r="E26" s="20">
        <f>($D$16*$D$17-$D$16*$H$19+$D$20*$H$22)/$D26</f>
        <v>1797.2506011583594</v>
      </c>
      <c r="F26" s="20">
        <f>($J$5-$J$6*$D$18^0.5)*$E26</f>
        <v>1079.2864347301625</v>
      </c>
      <c r="G26" s="20">
        <f>$D$16-($J$7-$J$8*$E26^0.8)*$D$18^0.9</f>
        <v>8899.609805674034</v>
      </c>
      <c r="H26" s="20">
        <f>($J$9+$J$10*$D$18^1.4-$J$11*$D$18^0.9*$E26^0.8)*$D$7*$D$8*$H$15*60*$H$18/1000</f>
        <v>7610.158382908705</v>
      </c>
      <c r="I26" s="29">
        <f>($M$5*$E26^0.8-$M$6)*$D$18^0.9</f>
        <v>0.006570652683538688</v>
      </c>
      <c r="J26" s="29">
        <f>($M$7*$E26^0.8-$M$8)*$D$18^0.9</f>
        <v>6.177517926823425E-08</v>
      </c>
      <c r="K26" s="5">
        <f>$D$11*SUM($J$26:$J26)/SUM($I$26:$I26)</f>
        <v>0.9071211733087012</v>
      </c>
      <c r="L26" s="5">
        <f>1-($E26/$D$16)</f>
        <v>0.10137469942082034</v>
      </c>
      <c r="M26" s="5">
        <f>$D26/($D$17+$H$20*$C26)</f>
        <v>0.9746037035669577</v>
      </c>
      <c r="N26" s="5">
        <f>(($D$8*$D$9*$H$15*$D$18*(SUM($I$26:$I26)/$A26)*10^-3)/(($D26/$C26)*60*10^-3))</f>
        <v>0.03713881942978165</v>
      </c>
      <c r="O26" s="5">
        <f>(SUM($I$26:$I26))*100/$A26</f>
        <v>0.6570652683538688</v>
      </c>
    </row>
    <row r="27" spans="1:15" ht="12.75">
      <c r="A27" s="1">
        <f>$A26+1</f>
        <v>2</v>
      </c>
      <c r="B27" s="1">
        <f aca="true" t="shared" si="0" ref="B27:B46">60*$C27</f>
        <v>480</v>
      </c>
      <c r="C27" s="32">
        <f aca="true" t="shared" si="1" ref="C27:C46">$C26+$H$18</f>
        <v>8</v>
      </c>
      <c r="D27" s="22">
        <f>$D26-$H$19+$H26</f>
        <v>29966.6176463241</v>
      </c>
      <c r="E27" s="20">
        <f>($E26*$D26-$E26*$H$19+$F26*$H26)/$D27</f>
        <v>1614.9203467313357</v>
      </c>
      <c r="F27" s="20">
        <f aca="true" t="shared" si="2" ref="F27:F46">($J$5-$J$6*$D$18^0.5)*$E27</f>
        <v>969.7933177896793</v>
      </c>
      <c r="G27" s="20">
        <f aca="true" t="shared" si="3" ref="G27:G46">$D$16-($J$7-$J$8*$E27^0.8)*$D$18^0.9</f>
        <v>8257.632998098468</v>
      </c>
      <c r="H27" s="20">
        <f aca="true" t="shared" si="4" ref="H27:H46">($J$9+$J$10*$D$18^1.4-$J$11*$D$18^0.9*$E27^0.8)*$D$7*$D$8*$H$15*60*$H$18/1000</f>
        <v>7611.609164146429</v>
      </c>
      <c r="I27" s="29">
        <f aca="true" t="shared" si="5" ref="I27:I46">($M$5*$E27^0.8-$M$6)*$D$18^0.9</f>
        <v>0.0059516293979789804</v>
      </c>
      <c r="J27" s="29">
        <f>($M$7*$E27^0.8-$M$8)*$D$18^0.9</f>
        <v>5.594873808232242E-08</v>
      </c>
      <c r="K27" s="5">
        <f>$D$11*SUM($J$26:$J27)/SUM($I$26:$I27)</f>
        <v>0.9070704598112542</v>
      </c>
      <c r="L27" s="5">
        <f aca="true" t="shared" si="6" ref="L27:L46">1-($E27/$D$16)</f>
        <v>0.1925398266343321</v>
      </c>
      <c r="M27" s="5">
        <f aca="true" t="shared" si="7" ref="M27:M46">$D27/($D$17+$H$20*$C27)</f>
        <v>0.950488024475945</v>
      </c>
      <c r="N27" s="5">
        <f>(($D$8*$D$9*$H$15*$D$18*(SUM($I$26:$I27)/$A27)*10^-3)/(($D27/$C27)*60*10^-3))</f>
        <v>0.07081633719349538</v>
      </c>
      <c r="O27" s="5">
        <f>(SUM($I$26:$I27))*100/$A27</f>
        <v>0.6261141040758834</v>
      </c>
    </row>
    <row r="28" spans="1:15" ht="12.75">
      <c r="A28" s="1">
        <f aca="true" t="shared" si="8" ref="A28:A46">$A27+1</f>
        <v>3</v>
      </c>
      <c r="B28" s="1">
        <f t="shared" si="0"/>
        <v>720</v>
      </c>
      <c r="C28" s="32">
        <f t="shared" si="1"/>
        <v>12</v>
      </c>
      <c r="D28" s="22">
        <f aca="true" t="shared" si="9" ref="D28:D46">$D27-$H$19+$H27</f>
        <v>29952.166810470528</v>
      </c>
      <c r="E28" s="20">
        <f>($E27*$D27-$E27*$H$19+$F27*$H27)/$D28</f>
        <v>1450.9771223027676</v>
      </c>
      <c r="F28" s="20">
        <f t="shared" si="2"/>
        <v>871.341995487918</v>
      </c>
      <c r="G28" s="20">
        <f>$D$16-($J$7-$J$8*$E28^0.8)*$D$18^0.9</f>
        <v>7667.9090361109875</v>
      </c>
      <c r="H28" s="20">
        <f>($J$9+$J$10*$D$18^1.4-$J$11*$D$18^0.9*$E28^0.8)*$D$7*$D$8*$H$15*60*$H$18/1000</f>
        <v>7612.941860981256</v>
      </c>
      <c r="I28" s="29">
        <f>($M$5*$E28^0.8-$M$6)*$D$18^0.9</f>
        <v>0.005382990686712437</v>
      </c>
      <c r="J28" s="29">
        <f aca="true" t="shared" si="10" ref="J28:J46">($M$7*$E28^0.8-$M$8)*$D$18^0.9</f>
        <v>5.059653230183788E-08</v>
      </c>
      <c r="K28" s="5">
        <f>$D$11*SUM($J$26:$J28)/SUM($I$26:$I28)</f>
        <v>0.9070176587048225</v>
      </c>
      <c r="L28" s="5">
        <f t="shared" si="6"/>
        <v>0.2745114388486162</v>
      </c>
      <c r="M28" s="5">
        <f t="shared" si="7"/>
        <v>0.9275581149911263</v>
      </c>
      <c r="N28" s="5">
        <f>(($D$8*$D$9*$H$15*$D$18*(SUM($I$26:$I28)/$A28)*10^-3)/(($D28/$C28)*60*10^-3))</f>
        <v>0.10130722043206836</v>
      </c>
      <c r="O28" s="5">
        <f>(SUM($I$26:$I28))*100/$A28</f>
        <v>0.5968424256076702</v>
      </c>
    </row>
    <row r="29" spans="1:15" ht="12.75">
      <c r="A29" s="1">
        <f t="shared" si="8"/>
        <v>4</v>
      </c>
      <c r="B29" s="1">
        <f t="shared" si="0"/>
        <v>960</v>
      </c>
      <c r="C29" s="32">
        <f t="shared" si="1"/>
        <v>16</v>
      </c>
      <c r="D29" s="22">
        <f>$D28-$H$19+$H28</f>
        <v>29939.048671451783</v>
      </c>
      <c r="E29" s="20">
        <f>($E28*$D28-$E28*$H$19+$F28*$H28)/$D29</f>
        <v>1303.5867169011533</v>
      </c>
      <c r="F29" s="20">
        <f>($J$5-$J$6*$D$18^0.5)*$E29</f>
        <v>782.8309859176254</v>
      </c>
      <c r="G29" s="20">
        <f>$D$16-($J$7-$J$8*$E29^0.8)*$D$18^0.9</f>
        <v>7126.250568402375</v>
      </c>
      <c r="H29" s="20">
        <f t="shared" si="4"/>
        <v>7614.165936263933</v>
      </c>
      <c r="I29" s="29">
        <f t="shared" si="5"/>
        <v>0.004860698914835998</v>
      </c>
      <c r="J29" s="29">
        <f>($M$7*$E29^0.8-$M$8)*$D$18^0.9</f>
        <v>4.568055844154566E-08</v>
      </c>
      <c r="K29" s="5">
        <f>$D$11*SUM($J$26:$J29)/SUM($I$26:$I29)</f>
        <v>0.906962705277466</v>
      </c>
      <c r="L29" s="5">
        <f>1-($E29/$D$16)</f>
        <v>0.3482066415494234</v>
      </c>
      <c r="M29" s="5">
        <f t="shared" si="7"/>
        <v>0.9057282041547133</v>
      </c>
      <c r="N29" s="5">
        <f>(($D$8*$D$9*$H$15*$D$18*(SUM($I$26:$I29)/$A29)*10^-3)/(($D29/$C29)*60*10^-3))</f>
        <v>0.1288652732932266</v>
      </c>
      <c r="O29" s="5">
        <f>(SUM($I$26:$I29))*100/$A29</f>
        <v>0.5691492920766525</v>
      </c>
    </row>
    <row r="30" spans="1:15" ht="12.75">
      <c r="A30" s="1">
        <f t="shared" si="8"/>
        <v>5</v>
      </c>
      <c r="B30" s="1">
        <f t="shared" si="0"/>
        <v>1200</v>
      </c>
      <c r="C30" s="32">
        <f t="shared" si="1"/>
        <v>20</v>
      </c>
      <c r="D30" s="22">
        <f>$D29-$H$19+$H29</f>
        <v>29927.154607715715</v>
      </c>
      <c r="E30" s="20">
        <f>($E29*$D29-$E29*$H$19+$F29*$H29)/$D30</f>
        <v>1171.0943166063812</v>
      </c>
      <c r="F30" s="20">
        <f t="shared" si="2"/>
        <v>703.2665388389477</v>
      </c>
      <c r="G30" s="20">
        <f t="shared" si="3"/>
        <v>6628.795256660951</v>
      </c>
      <c r="H30" s="20">
        <f>($J$9+$J$10*$D$18^1.4-$J$11*$D$18^0.9*$E30^0.8)*$D$7*$D$8*$H$15*60*$H$18/1000</f>
        <v>7615.290118359556</v>
      </c>
      <c r="I30" s="29">
        <f t="shared" si="5"/>
        <v>0.004381029839786024</v>
      </c>
      <c r="J30" s="29">
        <f t="shared" si="10"/>
        <v>4.1165762763136865E-08</v>
      </c>
      <c r="K30" s="5">
        <f>$D$11*SUM($J$26:$J30)/SUM($I$26:$I30)</f>
        <v>0.906905533026193</v>
      </c>
      <c r="L30" s="5">
        <f>1-($E30/$D$16)</f>
        <v>0.4144528416968094</v>
      </c>
      <c r="M30" s="5">
        <f>$D30/($D$17+$H$20*$C30)</f>
        <v>0.8849205493982446</v>
      </c>
      <c r="N30" s="5">
        <f>(($D$8*$D$9*$H$15*$D$18*(SUM($I$26:$I30)/$A30)*10^-3)/(($D30/$C30)*60*10^-3))</f>
        <v>0.15372487342610938</v>
      </c>
      <c r="O30" s="5">
        <f>(SUM($I$26:$I30))*100/$A30</f>
        <v>0.5429400304570425</v>
      </c>
    </row>
    <row r="31" spans="1:15" ht="12.75">
      <c r="A31" s="1">
        <f t="shared" si="8"/>
        <v>6</v>
      </c>
      <c r="B31" s="1">
        <f t="shared" si="0"/>
        <v>1440</v>
      </c>
      <c r="C31" s="32">
        <f t="shared" si="1"/>
        <v>24</v>
      </c>
      <c r="D31" s="22">
        <f t="shared" si="9"/>
        <v>29916.38472607527</v>
      </c>
      <c r="E31" s="20">
        <f aca="true" t="shared" si="11" ref="E31:E46">($E30*$D30-$E30*$H$19+$F30*$H30)/$D31</f>
        <v>1052.007592533695</v>
      </c>
      <c r="F31" s="20">
        <f t="shared" si="2"/>
        <v>631.75247966141</v>
      </c>
      <c r="G31" s="20">
        <f t="shared" si="3"/>
        <v>6171.982231980976</v>
      </c>
      <c r="H31" s="20">
        <f t="shared" si="4"/>
        <v>7616.322454352901</v>
      </c>
      <c r="I31" s="29">
        <f t="shared" si="5"/>
        <v>0.00394054990953468</v>
      </c>
      <c r="J31" s="29">
        <f t="shared" si="10"/>
        <v>3.7019827598737545E-08</v>
      </c>
      <c r="K31" s="5">
        <f>$D$11*SUM($J$26:$J31)/SUM($I$26:$I31)</f>
        <v>0.906846073526377</v>
      </c>
      <c r="L31" s="5">
        <f t="shared" si="6"/>
        <v>0.47399620373315243</v>
      </c>
      <c r="M31" s="5">
        <f t="shared" si="7"/>
        <v>0.8650645287180978</v>
      </c>
      <c r="N31" s="5">
        <f>(($D$8*$D$9*$H$15*$D$18*(SUM($I$26:$I31)/$A31)*10^-3)/(($D31/$C31)*60*10^-3))</f>
        <v>0.17610233370049594</v>
      </c>
      <c r="O31" s="5">
        <f>(SUM($I$26:$I31))*100/$A31</f>
        <v>0.5181258572064468</v>
      </c>
    </row>
    <row r="32" spans="1:15" ht="12.75">
      <c r="A32" s="1">
        <f t="shared" si="8"/>
        <v>7</v>
      </c>
      <c r="B32" s="1">
        <f t="shared" si="0"/>
        <v>1680</v>
      </c>
      <c r="C32" s="32">
        <f t="shared" si="1"/>
        <v>28</v>
      </c>
      <c r="D32" s="22">
        <f t="shared" si="9"/>
        <v>29906.64718042817</v>
      </c>
      <c r="E32" s="20">
        <f t="shared" si="11"/>
        <v>944.9812704784265</v>
      </c>
      <c r="F32" s="20">
        <f t="shared" si="2"/>
        <v>567.4809431940618</v>
      </c>
      <c r="G32" s="20">
        <f t="shared" si="3"/>
        <v>5752.529985185925</v>
      </c>
      <c r="H32" s="20">
        <f t="shared" si="4"/>
        <v>7617.270360013342</v>
      </c>
      <c r="I32" s="29">
        <f t="shared" si="5"/>
        <v>0.0035360949434323228</v>
      </c>
      <c r="J32" s="29">
        <f t="shared" si="10"/>
        <v>3.321297068831518E-08</v>
      </c>
      <c r="K32" s="5">
        <f>$D$11*SUM($J$26:$J32)/SUM($I$26:$I32)</f>
        <v>0.9067842562878702</v>
      </c>
      <c r="L32" s="5">
        <f t="shared" si="6"/>
        <v>0.5275093647607867</v>
      </c>
      <c r="M32" s="5">
        <f t="shared" si="7"/>
        <v>0.8460958520593885</v>
      </c>
      <c r="N32" s="5">
        <f>(($D$8*$D$9*$H$15*$D$18*(SUM($I$26:$I32)/$A32)*10^-3)/(($D32/$C32)*60*10^-3))</f>
        <v>0.19619718882621034</v>
      </c>
      <c r="O32" s="5">
        <f>(SUM($I$26:$I32))*100/$A32</f>
        <v>0.4946235196545589</v>
      </c>
    </row>
    <row r="33" spans="1:15" ht="12.75">
      <c r="A33" s="1">
        <f t="shared" si="8"/>
        <v>8</v>
      </c>
      <c r="B33" s="1">
        <f t="shared" si="0"/>
        <v>1920</v>
      </c>
      <c r="C33" s="32">
        <f t="shared" si="1"/>
        <v>32</v>
      </c>
      <c r="D33" s="22">
        <f t="shared" si="9"/>
        <v>29897.85754044151</v>
      </c>
      <c r="E33" s="20">
        <f t="shared" si="11"/>
        <v>848.8030727587759</v>
      </c>
      <c r="F33" s="20">
        <f t="shared" si="2"/>
        <v>509.723931429141</v>
      </c>
      <c r="G33" s="20">
        <f t="shared" si="3"/>
        <v>5367.415649541423</v>
      </c>
      <c r="H33" s="20">
        <f t="shared" si="4"/>
        <v>7618.1406666131115</v>
      </c>
      <c r="I33" s="29">
        <f t="shared" si="5"/>
        <v>0.003164750155655478</v>
      </c>
      <c r="J33" s="29">
        <f t="shared" si="10"/>
        <v>2.971775715410961E-08</v>
      </c>
      <c r="K33" s="5">
        <f>$D$11*SUM($J$26:$J33)/SUM($I$26:$I33)</f>
        <v>0.9067200085970034</v>
      </c>
      <c r="L33" s="5">
        <f t="shared" si="6"/>
        <v>0.5755984636206121</v>
      </c>
      <c r="M33" s="5">
        <f t="shared" si="7"/>
        <v>0.8279558741680941</v>
      </c>
      <c r="N33" s="5">
        <f>(($D$8*$D$9*$H$15*$D$18*(SUM($I$26:$I33)/$A33)*10^-3)/(($D33/$C33)*60*10^-3))</f>
        <v>0.21419340749529067</v>
      </c>
      <c r="O33" s="5">
        <f>(SUM($I$26:$I33))*100/$A33</f>
        <v>0.4723549566434325</v>
      </c>
    </row>
    <row r="34" spans="1:15" ht="12.75">
      <c r="A34" s="1">
        <f t="shared" si="8"/>
        <v>9</v>
      </c>
      <c r="B34" s="1">
        <f t="shared" si="0"/>
        <v>2160</v>
      </c>
      <c r="C34" s="32">
        <f t="shared" si="1"/>
        <v>36</v>
      </c>
      <c r="D34" s="22">
        <f t="shared" si="9"/>
        <v>29889.93820705462</v>
      </c>
      <c r="E34" s="20">
        <f t="shared" si="11"/>
        <v>762.3809270229955</v>
      </c>
      <c r="F34" s="20">
        <f t="shared" si="2"/>
        <v>457.82563216426155</v>
      </c>
      <c r="G34" s="20">
        <f t="shared" si="3"/>
        <v>5013.855626590717</v>
      </c>
      <c r="H34" s="20">
        <f t="shared" si="4"/>
        <v>7618.939664710321</v>
      </c>
      <c r="I34" s="29">
        <f t="shared" si="5"/>
        <v>0.002823831473754731</v>
      </c>
      <c r="J34" s="29">
        <f t="shared" si="10"/>
        <v>2.6508923664950528E-08</v>
      </c>
      <c r="K34" s="5">
        <f>$D$11*SUM($J$26:$J34)/SUM($I$26:$I34)</f>
        <v>0.9066532553436168</v>
      </c>
      <c r="L34" s="5">
        <f t="shared" si="6"/>
        <v>0.6188095364885022</v>
      </c>
      <c r="M34" s="5">
        <f t="shared" si="7"/>
        <v>0.8105909941135249</v>
      </c>
      <c r="N34" s="5">
        <f>(($D$8*$D$9*$H$15*$D$18*(SUM($I$26:$I34)/$A34)*10^-3)/(($D34/$C34)*60*10^-3))</f>
        <v>0.23026053141741873</v>
      </c>
      <c r="O34" s="5">
        <f>(SUM($I$26:$I34))*100/$A34</f>
        <v>0.45124697783588147</v>
      </c>
    </row>
    <row r="35" spans="1:15" ht="12.75">
      <c r="A35" s="1">
        <f t="shared" si="8"/>
        <v>10</v>
      </c>
      <c r="B35" s="1">
        <f t="shared" si="0"/>
        <v>2400</v>
      </c>
      <c r="C35" s="32">
        <f t="shared" si="1"/>
        <v>40</v>
      </c>
      <c r="D35" s="22">
        <f t="shared" si="9"/>
        <v>29882.81787176494</v>
      </c>
      <c r="E35" s="20">
        <f t="shared" si="11"/>
        <v>684.7313416976039</v>
      </c>
      <c r="F35" s="20">
        <f t="shared" si="2"/>
        <v>411.19543821684937</v>
      </c>
      <c r="G35" s="20">
        <f t="shared" si="3"/>
        <v>4689.287500278136</v>
      </c>
      <c r="H35" s="20">
        <f t="shared" si="4"/>
        <v>7619.673145020608</v>
      </c>
      <c r="I35" s="29">
        <f t="shared" si="5"/>
        <v>0.00251086809942859</v>
      </c>
      <c r="J35" s="29">
        <f t="shared" si="10"/>
        <v>2.3563214292794963E-08</v>
      </c>
      <c r="K35" s="5">
        <f>$D$11*SUM($J$26:$J35)/SUM($I$26:$I35)</f>
        <v>0.906583918832208</v>
      </c>
      <c r="L35" s="5">
        <f t="shared" si="6"/>
        <v>0.6576343291511981</v>
      </c>
      <c r="M35" s="5">
        <f t="shared" si="7"/>
        <v>0.7939521290886125</v>
      </c>
      <c r="N35" s="5">
        <f>(($D$8*$D$9*$H$15*$D$18*(SUM($I$26:$I35)/$A35)*10^-3)/(($D35/$C35)*60*10^-3))</f>
        <v>0.2445547431980699</v>
      </c>
      <c r="O35" s="5">
        <f>(SUM($I$26:$I35))*100/$A35</f>
        <v>0.43123096104657926</v>
      </c>
    </row>
    <row r="36" spans="1:15" ht="12.75">
      <c r="A36" s="1">
        <f t="shared" si="8"/>
        <v>11</v>
      </c>
      <c r="B36" s="1">
        <f t="shared" si="0"/>
        <v>2640</v>
      </c>
      <c r="C36" s="32">
        <f t="shared" si="1"/>
        <v>44</v>
      </c>
      <c r="D36" s="22">
        <f t="shared" si="9"/>
        <v>29876.431016785544</v>
      </c>
      <c r="E36" s="20">
        <f t="shared" si="11"/>
        <v>614.9688531065051</v>
      </c>
      <c r="F36" s="20">
        <f t="shared" si="2"/>
        <v>369.301610199286</v>
      </c>
      <c r="G36" s="20">
        <f t="shared" si="3"/>
        <v>4391.353180761616</v>
      </c>
      <c r="H36" s="20">
        <f t="shared" si="4"/>
        <v>7620.346436509847</v>
      </c>
      <c r="I36" s="29">
        <f t="shared" si="5"/>
        <v>0.0022235862550195862</v>
      </c>
      <c r="J36" s="29">
        <f t="shared" si="10"/>
        <v>2.0859227529654256E-08</v>
      </c>
      <c r="K36" s="5">
        <f>$D$11*SUM($J$26:$J36)/SUM($I$26:$I36)</f>
        <v>0.9065119185762133</v>
      </c>
      <c r="L36" s="5">
        <f t="shared" si="6"/>
        <v>0.6925155734467474</v>
      </c>
      <c r="M36" s="5">
        <f t="shared" si="7"/>
        <v>0.7779942520706036</v>
      </c>
      <c r="N36" s="5">
        <f>(($D$8*$D$9*$H$15*$D$18*(SUM($I$26:$I36)/$A36)*10^-3)/(($D36/$C36)*60*10^-3))</f>
        <v>0.2572198654455163</v>
      </c>
      <c r="O36" s="5">
        <f>(SUM($I$26:$I36))*100/$A36</f>
        <v>0.4122425669061592</v>
      </c>
    </row>
    <row r="37" spans="1:15" ht="12.75">
      <c r="A37" s="1">
        <f t="shared" si="8"/>
        <v>12</v>
      </c>
      <c r="B37" s="1">
        <f t="shared" si="0"/>
        <v>2880</v>
      </c>
      <c r="C37" s="32">
        <f t="shared" si="1"/>
        <v>48</v>
      </c>
      <c r="D37" s="22">
        <f t="shared" si="9"/>
        <v>29870.71745329539</v>
      </c>
      <c r="E37" s="20">
        <f t="shared" si="11"/>
        <v>552.2964548963745</v>
      </c>
      <c r="F37" s="20">
        <f t="shared" si="2"/>
        <v>331.6655291894342</v>
      </c>
      <c r="G37" s="20">
        <f t="shared" si="3"/>
        <v>4117.883217034669</v>
      </c>
      <c r="H37" s="20">
        <f t="shared" si="4"/>
        <v>7620.964441845513</v>
      </c>
      <c r="I37" s="29">
        <f t="shared" si="5"/>
        <v>0.0019598940570296716</v>
      </c>
      <c r="J37" s="29">
        <f t="shared" si="10"/>
        <v>1.8377273912379776E-08</v>
      </c>
      <c r="K37" s="5">
        <f>$D$11*SUM($J$26:$J37)/SUM($I$26:$I37)</f>
        <v>0.9064371710743655</v>
      </c>
      <c r="L37" s="5">
        <f t="shared" si="6"/>
        <v>0.7238517725518128</v>
      </c>
      <c r="M37" s="5">
        <f t="shared" si="7"/>
        <v>0.7626759845533965</v>
      </c>
      <c r="N37" s="5">
        <f>(($D$8*$D$9*$H$15*$D$18*(SUM($I$26:$I37)/$A37)*10^-3)/(($D37/$C37)*60*10^-3))</f>
        <v>0.2683882938105354</v>
      </c>
      <c r="O37" s="5">
        <f>(SUM($I$26:$I37))*100/$A37</f>
        <v>0.39422147013922654</v>
      </c>
    </row>
    <row r="38" spans="1:15" ht="12.75">
      <c r="A38" s="1">
        <f t="shared" si="8"/>
        <v>13</v>
      </c>
      <c r="B38" s="1">
        <f t="shared" si="0"/>
        <v>3120</v>
      </c>
      <c r="C38" s="32">
        <f t="shared" si="1"/>
        <v>52</v>
      </c>
      <c r="D38" s="22">
        <f t="shared" si="9"/>
        <v>29865.621895140903</v>
      </c>
      <c r="E38" s="20">
        <f t="shared" si="11"/>
        <v>495.99692611081736</v>
      </c>
      <c r="F38" s="20">
        <f t="shared" si="2"/>
        <v>297.8564890584758</v>
      </c>
      <c r="G38" s="20">
        <f t="shared" si="3"/>
        <v>3866.882216403267</v>
      </c>
      <c r="H38" s="20">
        <f t="shared" si="4"/>
        <v>7621.531670346713</v>
      </c>
      <c r="I38" s="29">
        <f t="shared" si="5"/>
        <v>0.001717867456915561</v>
      </c>
      <c r="J38" s="29">
        <f t="shared" si="10"/>
        <v>1.6099243693022153E-08</v>
      </c>
      <c r="K38" s="5">
        <f>$D$11*SUM($J$26:$J38)/SUM($I$26:$I38)</f>
        <v>0.9063595895679681</v>
      </c>
      <c r="L38" s="5">
        <f t="shared" si="6"/>
        <v>0.7520015369445914</v>
      </c>
      <c r="M38" s="5">
        <f t="shared" si="7"/>
        <v>0.7479592369111587</v>
      </c>
      <c r="N38" s="5">
        <f>(($D$8*$D$9*$H$15*$D$18*(SUM($I$26:$I38)/$A38)*10^-3)/(($D38/$C38)*60*10^-3))</f>
        <v>0.2781818668817612</v>
      </c>
      <c r="O38" s="5">
        <f>(SUM($I$26:$I38))*100/$A38</f>
        <v>0.3771111067201749</v>
      </c>
    </row>
    <row r="39" spans="1:15" ht="12.75">
      <c r="A39" s="1">
        <f t="shared" si="8"/>
        <v>14</v>
      </c>
      <c r="B39" s="1">
        <f t="shared" si="0"/>
        <v>3360</v>
      </c>
      <c r="C39" s="32">
        <f t="shared" si="1"/>
        <v>56</v>
      </c>
      <c r="D39" s="22">
        <f t="shared" si="9"/>
        <v>29861.093565487616</v>
      </c>
      <c r="E39" s="20">
        <f t="shared" si="11"/>
        <v>445.4249799475288</v>
      </c>
      <c r="F39" s="20">
        <f t="shared" si="2"/>
        <v>267.4869816359925</v>
      </c>
      <c r="G39" s="20">
        <f t="shared" si="3"/>
        <v>3636.5153087597646</v>
      </c>
      <c r="H39" s="20">
        <f t="shared" si="4"/>
        <v>7622.052268573094</v>
      </c>
      <c r="I39" s="29">
        <f t="shared" si="5"/>
        <v>0.0014957371893249746</v>
      </c>
      <c r="J39" s="29">
        <f t="shared" si="10"/>
        <v>1.4008483991539857E-08</v>
      </c>
      <c r="K39" s="5">
        <f>$D$11*SUM($J$26:$J39)/SUM($I$26:$I39)</f>
        <v>0.9062790837778296</v>
      </c>
      <c r="L39" s="5">
        <f t="shared" si="6"/>
        <v>0.7772875100262355</v>
      </c>
      <c r="M39" s="5">
        <f t="shared" si="7"/>
        <v>0.7338088900735467</v>
      </c>
      <c r="N39" s="5">
        <f>(($D$8*$D$9*$H$15*$D$18*(SUM($I$26:$I39)/$A39)*10^-3)/(($D39/$C39)*60*10^-3))</f>
        <v>0.2867126759975985</v>
      </c>
      <c r="O39" s="5">
        <f>(SUM($I$26:$I39))*100/$A39</f>
        <v>0.3608584361639123</v>
      </c>
    </row>
    <row r="40" spans="1:15" s="41" customFormat="1" ht="12.75">
      <c r="A40" s="41">
        <f t="shared" si="8"/>
        <v>15</v>
      </c>
      <c r="B40" s="41">
        <f>60*$C40</f>
        <v>3600</v>
      </c>
      <c r="C40" s="42">
        <f t="shared" si="1"/>
        <v>60</v>
      </c>
      <c r="D40" s="43">
        <f t="shared" si="9"/>
        <v>29857.08583406071</v>
      </c>
      <c r="E40" s="44">
        <f t="shared" si="11"/>
        <v>400.0001608197157</v>
      </c>
      <c r="F40" s="44">
        <f t="shared" si="2"/>
        <v>240.20843124734796</v>
      </c>
      <c r="G40" s="44">
        <f t="shared" si="3"/>
        <v>3425.0955942626233</v>
      </c>
      <c r="H40" s="44">
        <f t="shared" si="4"/>
        <v>7622.5300486914075</v>
      </c>
      <c r="I40" s="45">
        <f t="shared" si="5"/>
        <v>0.0012918766685775624</v>
      </c>
      <c r="J40" s="45">
        <f t="shared" si="10"/>
        <v>1.2089684873684087E-08</v>
      </c>
      <c r="K40" s="46">
        <f>$D$11*SUM($J$26:$J40)/SUM($I$26:$I40)</f>
        <v>0.9061955596194677</v>
      </c>
      <c r="L40" s="46">
        <f t="shared" si="6"/>
        <v>0.7999999195901422</v>
      </c>
      <c r="M40" s="46">
        <f t="shared" si="7"/>
        <v>0.7201925131276872</v>
      </c>
      <c r="N40" s="46">
        <f>(($D$8*$D$9*$H$15*$D$18*(SUM($I$26:$I40)/$A40)*10^-3)/(($D40/$C40)*60*10^-3))</f>
        <v>0.2940838181075737</v>
      </c>
      <c r="O40" s="46">
        <f>(SUM($I$26:$I40))*100/$A40</f>
        <v>0.34541371821016853</v>
      </c>
    </row>
    <row r="41" spans="1:15" ht="12.75">
      <c r="A41" s="1">
        <f t="shared" si="8"/>
        <v>16</v>
      </c>
      <c r="B41" s="1">
        <f t="shared" si="0"/>
        <v>3840</v>
      </c>
      <c r="C41" s="32">
        <f t="shared" si="1"/>
        <v>64</v>
      </c>
      <c r="D41" s="22">
        <f t="shared" si="9"/>
        <v>29853.555882752116</v>
      </c>
      <c r="E41" s="20">
        <f t="shared" si="11"/>
        <v>359.2004227589826</v>
      </c>
      <c r="F41" s="20">
        <f t="shared" si="2"/>
        <v>215.7073384108164</v>
      </c>
      <c r="G41" s="20">
        <f t="shared" si="3"/>
        <v>3231.0725142988285</v>
      </c>
      <c r="H41" s="20">
        <f t="shared" si="4"/>
        <v>7622.968514755563</v>
      </c>
      <c r="I41" s="29">
        <f t="shared" si="5"/>
        <v>0.0011047907754170604</v>
      </c>
      <c r="J41" s="29">
        <f t="shared" si="10"/>
        <v>1.0328773808395405E-08</v>
      </c>
      <c r="K41" s="5">
        <f>$D$11*SUM($J$26:$J41)/SUM($I$26:$I41)</f>
        <v>0.9061089188950519</v>
      </c>
      <c r="L41" s="5">
        <f t="shared" si="6"/>
        <v>0.8203997886205087</v>
      </c>
      <c r="M41" s="5">
        <f t="shared" si="7"/>
        <v>0.7070801122447073</v>
      </c>
      <c r="N41" s="5">
        <f>(($D$8*$D$9*$H$15*$D$18*(SUM($I$26:$I41)/$A41)*10^-3)/(($D41/$C41)*60*10^-3))</f>
        <v>0.30039009483475293</v>
      </c>
      <c r="O41" s="5">
        <f>(SUM($I$26:$I41))*100/$A41</f>
        <v>0.3307303031683896</v>
      </c>
    </row>
    <row r="42" spans="1:15" ht="12.75">
      <c r="A42" s="1">
        <f t="shared" si="8"/>
        <v>17</v>
      </c>
      <c r="B42" s="1">
        <f t="shared" si="0"/>
        <v>4080</v>
      </c>
      <c r="C42" s="32">
        <f t="shared" si="1"/>
        <v>68</v>
      </c>
      <c r="D42" s="22">
        <f t="shared" si="9"/>
        <v>29850.464397507676</v>
      </c>
      <c r="E42" s="20">
        <f t="shared" si="11"/>
        <v>322.55632739400187</v>
      </c>
      <c r="F42" s="20">
        <f t="shared" si="2"/>
        <v>193.70179560287866</v>
      </c>
      <c r="G42" s="20">
        <f t="shared" si="3"/>
        <v>3053.0210873335127</v>
      </c>
      <c r="H42" s="20">
        <f t="shared" si="4"/>
        <v>7623.370887032168</v>
      </c>
      <c r="I42" s="29">
        <f t="shared" si="5"/>
        <v>0.0009331054777270953</v>
      </c>
      <c r="J42" s="29">
        <f t="shared" si="10"/>
        <v>8.712817974727733E-09</v>
      </c>
      <c r="K42" s="5">
        <f>$D$11*SUM($J$26:$J42)/SUM($I$26:$I42)</f>
        <v>0.9060190589603874</v>
      </c>
      <c r="L42" s="5">
        <f t="shared" si="6"/>
        <v>0.8387218363029991</v>
      </c>
      <c r="M42" s="5">
        <f t="shared" si="7"/>
        <v>0.6944439069859708</v>
      </c>
      <c r="N42" s="5">
        <f>(($D$8*$D$9*$H$15*$D$18*(SUM($I$26:$I42)/$A42)*10^-3)/(($D42/$C42)*60*10^-3))</f>
        <v>0.3057186608673301</v>
      </c>
      <c r="O42" s="5">
        <f>(SUM($I$26:$I42))*100/$A42</f>
        <v>0.3167644352039379</v>
      </c>
    </row>
    <row r="43" spans="1:15" ht="12.75">
      <c r="A43" s="1">
        <f t="shared" si="8"/>
        <v>18</v>
      </c>
      <c r="B43" s="1">
        <f t="shared" si="0"/>
        <v>4320</v>
      </c>
      <c r="C43" s="32">
        <f t="shared" si="1"/>
        <v>72</v>
      </c>
      <c r="D43" s="22">
        <f t="shared" si="9"/>
        <v>29847.775284539843</v>
      </c>
      <c r="E43" s="20">
        <f t="shared" si="11"/>
        <v>289.6458046848802</v>
      </c>
      <c r="F43" s="20">
        <f t="shared" si="2"/>
        <v>173.9383409700407</v>
      </c>
      <c r="G43" s="20">
        <f t="shared" si="3"/>
        <v>2889.631953319934</v>
      </c>
      <c r="H43" s="20">
        <f t="shared" si="4"/>
        <v>7623.740124498812</v>
      </c>
      <c r="I43" s="29">
        <f t="shared" si="5"/>
        <v>0.0007755582308977213</v>
      </c>
      <c r="J43" s="29">
        <f t="shared" si="10"/>
        <v>7.229933907089314E-09</v>
      </c>
      <c r="K43" s="5">
        <f>$D$11*SUM($J$26:$J43)/SUM($I$26:$I43)</f>
        <v>0.9059258723650594</v>
      </c>
      <c r="L43" s="5">
        <f t="shared" si="6"/>
        <v>0.8551770976575599</v>
      </c>
      <c r="M43" s="5">
        <f t="shared" si="7"/>
        <v>0.6822581305981873</v>
      </c>
      <c r="N43" s="5">
        <f>(($D$8*$D$9*$H$15*$D$18*(SUM($I$26:$I43)/$A43)*10^-3)/(($D43/$C43)*60*10^-3))</f>
        <v>0.3101496247508503</v>
      </c>
      <c r="O43" s="5">
        <f>(SUM($I$26:$I43))*100/$A43</f>
        <v>0.303475067864262</v>
      </c>
    </row>
    <row r="44" spans="1:15" ht="12.75">
      <c r="A44" s="1">
        <f t="shared" si="8"/>
        <v>19</v>
      </c>
      <c r="B44" s="1">
        <f t="shared" si="0"/>
        <v>4560</v>
      </c>
      <c r="C44" s="32">
        <f t="shared" si="1"/>
        <v>76</v>
      </c>
      <c r="D44" s="22">
        <f t="shared" si="9"/>
        <v>29845.455409038652</v>
      </c>
      <c r="E44" s="20">
        <f t="shared" si="11"/>
        <v>260.089424266585</v>
      </c>
      <c r="F44" s="20">
        <f t="shared" si="2"/>
        <v>156.1891186720316</v>
      </c>
      <c r="G44" s="20">
        <f t="shared" si="3"/>
        <v>2739.702172655402</v>
      </c>
      <c r="H44" s="20">
        <f t="shared" si="4"/>
        <v>7624.078945637206</v>
      </c>
      <c r="I44" s="29">
        <f t="shared" si="5"/>
        <v>0.0006309891057595357</v>
      </c>
      <c r="J44" s="29">
        <f t="shared" si="10"/>
        <v>5.869203988577848E-09</v>
      </c>
      <c r="K44" s="5">
        <f>$D$11*SUM($J$26:$J44)/SUM($I$26:$I44)</f>
        <v>0.905829246463628</v>
      </c>
      <c r="L44" s="5">
        <f t="shared" si="6"/>
        <v>0.8699552878667075</v>
      </c>
      <c r="M44" s="5">
        <f t="shared" si="7"/>
        <v>0.6704988513748948</v>
      </c>
      <c r="N44" s="5">
        <f>(($D$8*$D$9*$H$15*$D$18*(SUM($I$26:$I44)/$A44)*10^-3)/(($D44/$C44)*60*10^-3))</f>
        <v>0.3137566050704877</v>
      </c>
      <c r="O44" s="5">
        <f>(SUM($I$26:$I44))*100/$A44</f>
        <v>0.29082369116487733</v>
      </c>
    </row>
    <row r="45" spans="1:15" ht="12.75">
      <c r="A45" s="1">
        <f t="shared" si="8"/>
        <v>20</v>
      </c>
      <c r="B45" s="1">
        <f t="shared" si="0"/>
        <v>4800</v>
      </c>
      <c r="C45" s="32">
        <f t="shared" si="1"/>
        <v>80</v>
      </c>
      <c r="D45" s="22">
        <f t="shared" si="9"/>
        <v>29843.474354675855</v>
      </c>
      <c r="E45" s="20">
        <f t="shared" si="11"/>
        <v>233.54612964497224</v>
      </c>
      <c r="F45" s="20">
        <f t="shared" si="2"/>
        <v>140.24931717763303</v>
      </c>
      <c r="G45" s="20">
        <f t="shared" si="3"/>
        <v>2602.1267281440023</v>
      </c>
      <c r="H45" s="20">
        <f t="shared" si="4"/>
        <v>7624.389847637579</v>
      </c>
      <c r="I45" s="29">
        <f t="shared" si="5"/>
        <v>0.0004983325943889749</v>
      </c>
      <c r="J45" s="29">
        <f t="shared" si="10"/>
        <v>4.62059932465158E-09</v>
      </c>
      <c r="K45" s="5">
        <f>$D$11*SUM($J$26:$J45)/SUM($I$26:$I45)</f>
        <v>0.905729062995535</v>
      </c>
      <c r="L45" s="5">
        <f t="shared" si="6"/>
        <v>0.8832269351775139</v>
      </c>
      <c r="M45" s="5">
        <f t="shared" si="7"/>
        <v>0.6591438125589351</v>
      </c>
      <c r="N45" s="5">
        <f>(($D$8*$D$9*$H$15*$D$18*(SUM($I$26:$I45)/$A45)*10^-3)/(($D45/$C45)*60*10^-3))</f>
        <v>0.31660724491175385</v>
      </c>
      <c r="O45" s="5">
        <f>(SUM($I$26:$I45))*100/$A45</f>
        <v>0.2787741695785783</v>
      </c>
    </row>
    <row r="46" spans="1:15" ht="12.75">
      <c r="A46" s="1">
        <f t="shared" si="8"/>
        <v>21</v>
      </c>
      <c r="B46" s="1">
        <f t="shared" si="0"/>
        <v>5040</v>
      </c>
      <c r="C46" s="32">
        <f t="shared" si="1"/>
        <v>84</v>
      </c>
      <c r="D46" s="22">
        <f t="shared" si="9"/>
        <v>29841.804202313433</v>
      </c>
      <c r="E46" s="20">
        <f t="shared" si="11"/>
        <v>209.7093915921911</v>
      </c>
      <c r="F46" s="20">
        <f t="shared" si="2"/>
        <v>125.93485929846936</v>
      </c>
      <c r="G46" s="20">
        <f t="shared" si="3"/>
        <v>2475.8906810002227</v>
      </c>
      <c r="H46" s="20">
        <f t="shared" si="4"/>
        <v>7624.675124125078</v>
      </c>
      <c r="I46" s="29">
        <f t="shared" si="5"/>
        <v>0.00037661004656965296</v>
      </c>
      <c r="J46" s="29">
        <f t="shared" si="10"/>
        <v>3.4749085527327755E-09</v>
      </c>
      <c r="K46" s="5">
        <f>$D$11*SUM($J$26:$J46)/SUM($I$26:$I46)</f>
        <v>0.9056251976310927</v>
      </c>
      <c r="L46" s="5">
        <f t="shared" si="6"/>
        <v>0.8951453042039045</v>
      </c>
      <c r="M46" s="5">
        <f t="shared" si="7"/>
        <v>0.6481722885982361</v>
      </c>
      <c r="N46" s="5">
        <f>(($D$8*$D$9*$H$15*$D$18*(SUM($I$26:$I46)/$A46)*10^-3)/(($D46/$C46)*60*10^-3))</f>
        <v>0.3187636873732698</v>
      </c>
      <c r="O46" s="5">
        <f>(SUM($I$26:$I46))*100/$A46</f>
        <v>0.26729259029659674</v>
      </c>
    </row>
    <row r="47" spans="1:14" ht="12.75">
      <c r="A47" s="12"/>
      <c r="B47" s="12"/>
      <c r="C47" s="12"/>
      <c r="D47" s="17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4:14" ht="13.5" customHeight="1">
      <c r="D48" s="22"/>
      <c r="E48" s="20"/>
      <c r="F48" s="20"/>
      <c r="G48" s="20"/>
      <c r="H48" s="20"/>
      <c r="I48" s="29"/>
      <c r="J48" s="29"/>
      <c r="K48" s="5"/>
      <c r="L48" s="5"/>
      <c r="M48" s="5"/>
      <c r="N48" s="5"/>
    </row>
    <row r="49" spans="4:14" ht="12.75">
      <c r="D49" s="22"/>
      <c r="E49" s="20"/>
      <c r="F49" s="20"/>
      <c r="G49" s="20"/>
      <c r="H49" s="20"/>
      <c r="I49" s="29"/>
      <c r="J49" s="29"/>
      <c r="K49" s="5"/>
      <c r="L49" s="5"/>
      <c r="M49" s="5"/>
      <c r="N49" s="5"/>
    </row>
  </sheetData>
  <printOptions/>
  <pageMargins left="0.5905511811023623" right="0" top="0.984251968503937" bottom="0.1968503937007874" header="0.5118110236220472" footer="0.5118110236220472"/>
  <pageSetup orientation="portrait" paperSize="9" scale="8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tanaka</cp:lastModifiedBy>
  <cp:lastPrinted>2013-09-02T03:43:21Z</cp:lastPrinted>
  <dcterms:created xsi:type="dcterms:W3CDTF">2012-01-09T08:49:46Z</dcterms:created>
  <dcterms:modified xsi:type="dcterms:W3CDTF">2014-06-03T09:46:08Z</dcterms:modified>
  <cp:category/>
  <cp:version/>
  <cp:contentType/>
  <cp:contentStatus/>
</cp:coreProperties>
</file>