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5" i="1" l="1"/>
  <c r="C13" i="1"/>
  <c r="C18" i="1"/>
  <c r="C17" i="1"/>
  <c r="C19" i="1" s="1"/>
  <c r="C15" i="1"/>
  <c r="C14" i="1"/>
  <c r="C16" i="1" s="1"/>
  <c r="C43" i="1" l="1"/>
  <c r="D39" i="1" s="1"/>
  <c r="E39" i="1" s="1"/>
  <c r="D24" i="1"/>
  <c r="E24" i="1" s="1"/>
  <c r="E30" i="1" s="1"/>
  <c r="D40" i="1" l="1"/>
  <c r="E40" i="1" s="1"/>
  <c r="D41" i="1"/>
  <c r="E41" i="1" s="1"/>
  <c r="D38" i="1"/>
  <c r="E38" i="1" s="1"/>
  <c r="D42" i="1"/>
  <c r="E42" i="1" s="1"/>
  <c r="D30" i="1"/>
  <c r="E27" i="1"/>
  <c r="D28" i="1"/>
  <c r="D29" i="1" s="1"/>
  <c r="D27" i="1"/>
  <c r="E28" i="1"/>
  <c r="F24" i="1"/>
  <c r="F28" i="1" s="1"/>
  <c r="E25" i="1"/>
  <c r="E26" i="1" s="1"/>
  <c r="D25" i="1"/>
  <c r="D26" i="1" s="1"/>
  <c r="E44" i="1" l="1"/>
  <c r="E29" i="1"/>
  <c r="E31" i="1" s="1"/>
  <c r="D31" i="1"/>
  <c r="F29" i="1"/>
  <c r="F27" i="1"/>
  <c r="F30" i="1"/>
  <c r="G24" i="1"/>
  <c r="G28" i="1" s="1"/>
  <c r="G29" i="1" s="1"/>
  <c r="F25" i="1"/>
  <c r="F26" i="1" s="1"/>
  <c r="F31" i="1" l="1"/>
  <c r="G27" i="1"/>
  <c r="G30" i="1"/>
  <c r="H24" i="1"/>
  <c r="H28" i="1" s="1"/>
  <c r="H29" i="1" s="1"/>
  <c r="G25" i="1"/>
  <c r="G26" i="1" s="1"/>
  <c r="G31" i="1" l="1"/>
  <c r="H30" i="1"/>
  <c r="H27" i="1"/>
  <c r="I24" i="1"/>
  <c r="I28" i="1" s="1"/>
  <c r="I29" i="1" s="1"/>
  <c r="H25" i="1"/>
  <c r="H26" i="1" s="1"/>
  <c r="H31" i="1" l="1"/>
  <c r="I30" i="1"/>
  <c r="I27" i="1"/>
  <c r="J24" i="1"/>
  <c r="J28" i="1" s="1"/>
  <c r="J29" i="1" s="1"/>
  <c r="I25" i="1"/>
  <c r="I26" i="1" s="1"/>
  <c r="I31" i="1" l="1"/>
  <c r="J27" i="1"/>
  <c r="J30" i="1"/>
  <c r="K24" i="1"/>
  <c r="K28" i="1" s="1"/>
  <c r="K29" i="1" s="1"/>
  <c r="J25" i="1"/>
  <c r="J26" i="1" s="1"/>
  <c r="J31" i="1" l="1"/>
  <c r="K27" i="1"/>
  <c r="K30" i="1"/>
  <c r="L24" i="1"/>
  <c r="L28" i="1" s="1"/>
  <c r="L29" i="1" s="1"/>
  <c r="K25" i="1"/>
  <c r="K26" i="1" s="1"/>
  <c r="K31" i="1" l="1"/>
  <c r="L30" i="1"/>
  <c r="L27" i="1"/>
  <c r="M24" i="1"/>
  <c r="M28" i="1" s="1"/>
  <c r="M29" i="1" s="1"/>
  <c r="L25" i="1"/>
  <c r="L26" i="1" s="1"/>
  <c r="L31" i="1" l="1"/>
  <c r="M25" i="1"/>
  <c r="M30" i="1"/>
  <c r="M27" i="1"/>
  <c r="M26" i="1" l="1"/>
  <c r="C33" i="1"/>
  <c r="C34" i="1" s="1"/>
  <c r="M31" i="1"/>
  <c r="C32" i="1" l="1"/>
  <c r="C35" i="1" s="1"/>
  <c r="C36" i="1" s="1"/>
</calcChain>
</file>

<file path=xl/sharedStrings.xml><?xml version="1.0" encoding="utf-8"?>
<sst xmlns="http://schemas.openxmlformats.org/spreadsheetml/2006/main" count="46" uniqueCount="46">
  <si>
    <t>Skype Standalone Valuation</t>
  </si>
  <si>
    <t>Assumptions:</t>
  </si>
  <si>
    <t>Working Capital</t>
  </si>
  <si>
    <t>EBIT as % of Net Revenue</t>
  </si>
  <si>
    <t>Forecast Period</t>
  </si>
  <si>
    <t>Net Revenue</t>
  </si>
  <si>
    <t>EBIT</t>
  </si>
  <si>
    <t>Working Capital as % of Net Revenue</t>
  </si>
  <si>
    <t>Depreciations &amp; Amortization</t>
  </si>
  <si>
    <t>Capital Spending</t>
  </si>
  <si>
    <t>Capital Spending as % Net Revenue</t>
  </si>
  <si>
    <t>EBIT(1-T)</t>
  </si>
  <si>
    <t>∆Working Capital</t>
  </si>
  <si>
    <t>Amort./Deprec. as % of Net Revenue</t>
  </si>
  <si>
    <t>Free Cash Flow to the Firm</t>
  </si>
  <si>
    <t>Present Value (2011-2010)</t>
  </si>
  <si>
    <t>Terminal Value</t>
  </si>
  <si>
    <t xml:space="preserve">       Actual</t>
  </si>
  <si>
    <t>Debt Maturity: (12/21/2010)</t>
  </si>
  <si>
    <t>Weighted Avg. Maturity</t>
  </si>
  <si>
    <t>Total Debt Outstanding</t>
  </si>
  <si>
    <t>Book Value</t>
  </si>
  <si>
    <t>Weights</t>
  </si>
  <si>
    <t xml:space="preserve">Market Value of Debt </t>
  </si>
  <si>
    <t>Wtd. Mat</t>
  </si>
  <si>
    <t>Skype Cost of Capital (2011 - 2020)</t>
  </si>
  <si>
    <t>Sk</t>
  </si>
  <si>
    <t>Skype Cost of Capital (Terminal Period)</t>
  </si>
  <si>
    <t>Skype Levered Beta</t>
  </si>
  <si>
    <t>Skype Cost of Equity</t>
  </si>
  <si>
    <t>Skype Cost of Borrowing</t>
  </si>
  <si>
    <t>Total NPV (Enterprise Value)</t>
  </si>
  <si>
    <t>Equity Value</t>
  </si>
  <si>
    <t>Net Revenue Growth Rate (%)</t>
  </si>
  <si>
    <t>Marginal Tax Rate (%)</t>
  </si>
  <si>
    <r>
      <t>Software Industry Avg. Levered Beta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</si>
  <si>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Software Industry Avg. Debt/Equity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</si>
  <si>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Software Industry Avg. Debt/Total Capital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</si>
  <si>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Software Industry Avg. Unlevered Beta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</si>
  <si>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http://pages.stern.nyu.edu/~adamodar/New_Home_Page/data.html</t>
    </r>
  </si>
  <si>
    <t>Selectef Financial Data: ($Millions)</t>
  </si>
  <si>
    <r>
      <t>Skype Debt to Equity Ratio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</si>
  <si>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All Skype historical data from Skype SA Form S-1 Registration Statement, United States Securities and Exchange Commission, March 4, 2011</t>
    </r>
  </si>
  <si>
    <t>Terminal Period Cash Flow</t>
  </si>
  <si>
    <t>Terminal Period Marginal Tax Rate (%)</t>
  </si>
  <si>
    <t>Terminal Period Growth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</si>
</sst>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/>
    <xf numFmtId="2" fontId="0" fillId="0" borderId="0" xfId="0" applyNumberFormat="1"/>
    <xf numFmtId="8" fontId="0" fillId="0" borderId="0" xfId="0" applyNumberFormat="1"/>
    <xf numFmtId="4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428625</xdr:colOff>
      <xdr:row>18</xdr:row>
      <xdr:rowOff>147637</xdr:rowOff>
    </xdr:from>
    <xdr:ext cx="914400" cy="264560"/>
    <xdr:sp macro="" textlink="">
      <xdr:nvSpPr>
        <xdr:cNvPr id="2" name="TextBox 1"/>
        <xdr:cNvSpPr txBox="1"/>
      </xdr:nvSpPr>
      <xdr:spPr>
        <a:xfrm>
          <a:off x="5953125" y="20526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115" zoomScaleNormal="115" workbookViewId="0">
      <selection activeCell="B1" sqref="B1:M47"/>
    </sheetView>
  </sheetViews>
  <sheetFormatPr defaultRowHeight="15" x14ac:dyDescent="0.25"/>
  <cols>
    <col min="1" max="1" width="0.140625" customWidth="1"/>
    <col min="2" max="2" width="39" customWidth="1"/>
    <col min="3" max="3" width="12.7109375" bestFit="1" customWidth="1"/>
    <col min="4" max="4" width="8.140625" customWidth="1"/>
    <col min="5" max="5" width="8.42578125" customWidth="1"/>
    <col min="6" max="6" width="7.7109375" customWidth="1"/>
    <col min="7" max="7" width="8.140625" customWidth="1"/>
    <col min="8" max="8" width="8.42578125" customWidth="1"/>
    <col min="9" max="9" width="7.7109375" customWidth="1"/>
    <col min="10" max="10" width="7.85546875" customWidth="1"/>
    <col min="11" max="11" width="7.5703125" customWidth="1"/>
    <col min="12" max="12" width="7.7109375" customWidth="1"/>
    <col min="13" max="13" width="7.5703125" customWidth="1"/>
  </cols>
  <sheetData>
    <row r="1" spans="2:13" x14ac:dyDescent="0.25">
      <c r="D1" s="7" t="s">
        <v>0</v>
      </c>
      <c r="E1" s="7"/>
      <c r="F1" s="7"/>
      <c r="G1" s="7"/>
      <c r="H1" s="7"/>
    </row>
    <row r="2" spans="2:13" x14ac:dyDescent="0.25">
      <c r="C2" t="s">
        <v>17</v>
      </c>
      <c r="D2" s="7" t="s">
        <v>4</v>
      </c>
      <c r="E2" s="8"/>
      <c r="F2" s="8"/>
      <c r="G2" s="8"/>
      <c r="H2" s="8"/>
      <c r="I2" s="8"/>
      <c r="J2" s="8"/>
      <c r="K2" s="8"/>
      <c r="L2" s="8"/>
      <c r="M2" s="8"/>
    </row>
    <row r="3" spans="2:13" x14ac:dyDescent="0.25">
      <c r="C3" s="1">
        <v>2010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  <c r="I3" s="1">
        <v>2016</v>
      </c>
      <c r="J3" s="1">
        <v>2017</v>
      </c>
      <c r="K3" s="1">
        <v>2018</v>
      </c>
      <c r="L3" s="1">
        <v>2019</v>
      </c>
      <c r="M3" s="1">
        <v>2020</v>
      </c>
    </row>
    <row r="4" spans="2:13" x14ac:dyDescent="0.25">
      <c r="B4" t="s">
        <v>1</v>
      </c>
    </row>
    <row r="5" spans="2:13" x14ac:dyDescent="0.25">
      <c r="B5" t="s">
        <v>33</v>
      </c>
      <c r="C5">
        <v>0.35</v>
      </c>
      <c r="D5">
        <v>0.35</v>
      </c>
      <c r="E5">
        <v>0.35</v>
      </c>
      <c r="F5">
        <v>0.35</v>
      </c>
      <c r="G5">
        <v>0.35</v>
      </c>
      <c r="H5">
        <v>0.35</v>
      </c>
      <c r="I5">
        <v>0.3</v>
      </c>
      <c r="J5">
        <v>0.25</v>
      </c>
      <c r="K5">
        <v>0.2</v>
      </c>
      <c r="L5">
        <v>0.15</v>
      </c>
      <c r="M5">
        <v>0.1</v>
      </c>
    </row>
    <row r="6" spans="2:13" x14ac:dyDescent="0.25">
      <c r="B6" t="s">
        <v>3</v>
      </c>
      <c r="C6">
        <v>0.49</v>
      </c>
      <c r="D6">
        <v>0.45</v>
      </c>
      <c r="E6">
        <v>0.45</v>
      </c>
      <c r="F6">
        <v>0.42</v>
      </c>
      <c r="G6">
        <v>0.4</v>
      </c>
      <c r="H6">
        <v>0.38</v>
      </c>
      <c r="I6">
        <v>0.36</v>
      </c>
      <c r="J6">
        <v>0.34</v>
      </c>
      <c r="K6">
        <v>0.32</v>
      </c>
      <c r="L6">
        <v>0.3</v>
      </c>
      <c r="M6">
        <v>0.3</v>
      </c>
    </row>
    <row r="7" spans="2:13" x14ac:dyDescent="0.25">
      <c r="B7" t="s">
        <v>34</v>
      </c>
      <c r="C7">
        <v>0</v>
      </c>
      <c r="D7">
        <v>0</v>
      </c>
      <c r="E7">
        <v>0</v>
      </c>
      <c r="F7">
        <v>0.15</v>
      </c>
      <c r="G7">
        <v>0.2</v>
      </c>
      <c r="H7">
        <v>0.2</v>
      </c>
      <c r="I7">
        <v>0.25</v>
      </c>
      <c r="J7">
        <v>0.25</v>
      </c>
      <c r="K7">
        <v>0.25</v>
      </c>
      <c r="L7">
        <v>0.25</v>
      </c>
      <c r="M7">
        <v>0.25</v>
      </c>
    </row>
    <row r="8" spans="2:13" x14ac:dyDescent="0.25">
      <c r="B8" t="s">
        <v>7</v>
      </c>
      <c r="C8">
        <v>-12.8</v>
      </c>
      <c r="D8">
        <v>0</v>
      </c>
      <c r="E8">
        <v>0.15</v>
      </c>
      <c r="F8">
        <v>0.2</v>
      </c>
      <c r="G8">
        <v>0.2</v>
      </c>
      <c r="H8">
        <v>0.25</v>
      </c>
      <c r="I8">
        <v>0.3</v>
      </c>
      <c r="J8">
        <v>0.35</v>
      </c>
      <c r="K8">
        <v>0.35</v>
      </c>
      <c r="L8">
        <v>0.35</v>
      </c>
      <c r="M8">
        <v>0.35</v>
      </c>
    </row>
    <row r="9" spans="2:13" x14ac:dyDescent="0.25">
      <c r="B9" t="s">
        <v>13</v>
      </c>
      <c r="C9">
        <v>13.2</v>
      </c>
      <c r="D9">
        <v>0.13</v>
      </c>
      <c r="E9">
        <v>0.1</v>
      </c>
      <c r="F9">
        <v>0.09</v>
      </c>
      <c r="G9">
        <v>0.08</v>
      </c>
      <c r="H9">
        <v>7.0000000000000007E-2</v>
      </c>
      <c r="I9">
        <v>0.06</v>
      </c>
      <c r="J9">
        <v>0.05</v>
      </c>
      <c r="K9">
        <v>0.04</v>
      </c>
      <c r="L9">
        <v>0.04</v>
      </c>
      <c r="M9">
        <v>0.04</v>
      </c>
    </row>
    <row r="10" spans="2:13" x14ac:dyDescent="0.25">
      <c r="B10" t="s">
        <v>10</v>
      </c>
      <c r="C10">
        <v>3.5999999999999997E-2</v>
      </c>
      <c r="D10">
        <v>3.5999999999999997E-2</v>
      </c>
      <c r="E10">
        <v>0.04</v>
      </c>
      <c r="F10">
        <v>4.4999999999999998E-2</v>
      </c>
      <c r="G10">
        <v>0.05</v>
      </c>
      <c r="H10">
        <v>0.05</v>
      </c>
      <c r="I10">
        <v>0.05</v>
      </c>
      <c r="J10">
        <v>0.05</v>
      </c>
      <c r="K10">
        <v>0.05</v>
      </c>
      <c r="L10">
        <v>0.05</v>
      </c>
      <c r="M10">
        <v>0.05</v>
      </c>
    </row>
    <row r="11" spans="2:13" ht="17.25" x14ac:dyDescent="0.25">
      <c r="B11" t="s">
        <v>35</v>
      </c>
      <c r="C11">
        <v>1.06</v>
      </c>
    </row>
    <row r="12" spans="2:13" ht="17.25" x14ac:dyDescent="0.25">
      <c r="B12" t="s">
        <v>36</v>
      </c>
      <c r="C12" s="4">
        <v>4.9700000000000001E-2</v>
      </c>
    </row>
    <row r="13" spans="2:13" ht="17.25" x14ac:dyDescent="0.25">
      <c r="B13" t="s">
        <v>37</v>
      </c>
      <c r="C13" s="4">
        <f>0.05/1.05</f>
        <v>4.7619047619047616E-2</v>
      </c>
    </row>
    <row r="14" spans="2:13" ht="17.25" x14ac:dyDescent="0.25">
      <c r="B14" t="s">
        <v>38</v>
      </c>
      <c r="C14" s="4">
        <f>1.06/(1+0.05*(1-0.4))</f>
        <v>1.029126213592233</v>
      </c>
    </row>
    <row r="15" spans="2:13" ht="17.25" x14ac:dyDescent="0.25">
      <c r="B15" t="s">
        <v>41</v>
      </c>
      <c r="C15" s="4">
        <f>741.4/3317.9</f>
        <v>0.22345459477380269</v>
      </c>
    </row>
    <row r="16" spans="2:13" x14ac:dyDescent="0.25">
      <c r="B16" t="s">
        <v>28</v>
      </c>
      <c r="C16" s="4">
        <f>C14*(1+C15*(1.4))</f>
        <v>1.3510743870333235</v>
      </c>
    </row>
    <row r="17" spans="1:14" x14ac:dyDescent="0.25">
      <c r="B17" t="s">
        <v>29</v>
      </c>
      <c r="C17" s="4">
        <f>0.042+1.35*0.055</f>
        <v>0.11625000000000002</v>
      </c>
    </row>
    <row r="18" spans="1:14" x14ac:dyDescent="0.25">
      <c r="B18" t="s">
        <v>30</v>
      </c>
      <c r="C18" s="4">
        <f>0.0465*(1-0.4)</f>
        <v>2.7899999999999998E-2</v>
      </c>
    </row>
    <row r="19" spans="1:14" x14ac:dyDescent="0.25">
      <c r="B19" t="s">
        <v>25</v>
      </c>
      <c r="C19" s="4">
        <f>C17*0.95+0.0465*(1-0.4)*0.05</f>
        <v>0.1118325</v>
      </c>
    </row>
    <row r="20" spans="1:14" x14ac:dyDescent="0.25">
      <c r="A20" t="s">
        <v>26</v>
      </c>
      <c r="B20" t="s">
        <v>27</v>
      </c>
      <c r="C20">
        <v>0.09</v>
      </c>
    </row>
    <row r="21" spans="1:14" x14ac:dyDescent="0.25">
      <c r="B21" t="s">
        <v>45</v>
      </c>
      <c r="C21">
        <v>0.05</v>
      </c>
    </row>
    <row r="22" spans="1:14" x14ac:dyDescent="0.25">
      <c r="B22" t="s">
        <v>44</v>
      </c>
      <c r="C22">
        <v>0.4</v>
      </c>
    </row>
    <row r="23" spans="1:14" x14ac:dyDescent="0.25">
      <c r="B23" t="s">
        <v>40</v>
      </c>
    </row>
    <row r="24" spans="1:14" x14ac:dyDescent="0.25">
      <c r="B24" t="s">
        <v>5</v>
      </c>
      <c r="C24" s="2">
        <v>859.8</v>
      </c>
      <c r="D24" s="2">
        <f t="shared" ref="D24:M24" si="0">C24*(1+D5)</f>
        <v>1160.73</v>
      </c>
      <c r="E24" s="2">
        <f t="shared" si="0"/>
        <v>1566.9855000000002</v>
      </c>
      <c r="F24" s="2">
        <f t="shared" si="0"/>
        <v>2115.4304250000005</v>
      </c>
      <c r="G24" s="2">
        <f t="shared" si="0"/>
        <v>2855.831073750001</v>
      </c>
      <c r="H24" s="2">
        <f t="shared" si="0"/>
        <v>3855.3719495625014</v>
      </c>
      <c r="I24" s="2">
        <f t="shared" si="0"/>
        <v>5011.9835344312523</v>
      </c>
      <c r="J24" s="2">
        <f t="shared" si="0"/>
        <v>6264.9794180390654</v>
      </c>
      <c r="K24" s="2">
        <f t="shared" si="0"/>
        <v>7517.9753016468785</v>
      </c>
      <c r="L24" s="2">
        <f t="shared" si="0"/>
        <v>8645.6715968939097</v>
      </c>
      <c r="M24" s="2">
        <f t="shared" si="0"/>
        <v>9510.2387565833014</v>
      </c>
      <c r="N24" s="2"/>
    </row>
    <row r="25" spans="1:14" x14ac:dyDescent="0.25">
      <c r="B25" t="s">
        <v>6</v>
      </c>
      <c r="C25" s="2">
        <v>423.5</v>
      </c>
      <c r="D25" s="2">
        <f t="shared" ref="D25:M25" si="1">D24*D6</f>
        <v>522.32850000000008</v>
      </c>
      <c r="E25" s="2">
        <f t="shared" si="1"/>
        <v>705.14347500000008</v>
      </c>
      <c r="F25" s="2">
        <f t="shared" si="1"/>
        <v>888.48077850000016</v>
      </c>
      <c r="G25" s="2">
        <f t="shared" si="1"/>
        <v>1142.3324295000004</v>
      </c>
      <c r="H25" s="2">
        <f t="shared" si="1"/>
        <v>1465.0413408337506</v>
      </c>
      <c r="I25" s="2">
        <f t="shared" si="1"/>
        <v>1804.3140723952508</v>
      </c>
      <c r="J25" s="2">
        <f t="shared" si="1"/>
        <v>2130.0930021332824</v>
      </c>
      <c r="K25" s="2">
        <f t="shared" si="1"/>
        <v>2405.752096527001</v>
      </c>
      <c r="L25" s="2">
        <f t="shared" si="1"/>
        <v>2593.7014790681728</v>
      </c>
      <c r="M25" s="2">
        <f t="shared" si="1"/>
        <v>2853.0716269749905</v>
      </c>
      <c r="N25" s="2"/>
    </row>
    <row r="26" spans="1:14" x14ac:dyDescent="0.25">
      <c r="B26" t="s">
        <v>11</v>
      </c>
      <c r="C26" s="2">
        <v>423.5</v>
      </c>
      <c r="D26" s="2">
        <f t="shared" ref="D26:M26" si="2">D25*(1-D7)</f>
        <v>522.32850000000008</v>
      </c>
      <c r="E26" s="2">
        <f t="shared" si="2"/>
        <v>705.14347500000008</v>
      </c>
      <c r="F26" s="2">
        <f t="shared" si="2"/>
        <v>755.20866172500007</v>
      </c>
      <c r="G26" s="2">
        <f t="shared" si="2"/>
        <v>913.86594360000038</v>
      </c>
      <c r="H26" s="2">
        <f t="shared" si="2"/>
        <v>1172.0330726670006</v>
      </c>
      <c r="I26" s="2">
        <f t="shared" si="2"/>
        <v>1353.2355542964381</v>
      </c>
      <c r="J26" s="2">
        <f t="shared" si="2"/>
        <v>1597.5697515999618</v>
      </c>
      <c r="K26" s="2">
        <f t="shared" si="2"/>
        <v>1804.3140723952506</v>
      </c>
      <c r="L26" s="2">
        <f t="shared" si="2"/>
        <v>1945.2761093011295</v>
      </c>
      <c r="M26" s="2">
        <f t="shared" si="2"/>
        <v>2139.803720231243</v>
      </c>
      <c r="N26" s="2"/>
    </row>
    <row r="27" spans="1:14" x14ac:dyDescent="0.25">
      <c r="B27" t="s">
        <v>8</v>
      </c>
      <c r="C27" s="2">
        <v>114.3</v>
      </c>
      <c r="D27" s="2">
        <f t="shared" ref="D27:M27" si="3">D9*D24</f>
        <v>150.89490000000001</v>
      </c>
      <c r="E27" s="2">
        <f t="shared" si="3"/>
        <v>156.69855000000004</v>
      </c>
      <c r="F27" s="2">
        <f t="shared" si="3"/>
        <v>190.38873825000005</v>
      </c>
      <c r="G27" s="2">
        <f t="shared" si="3"/>
        <v>228.46648590000009</v>
      </c>
      <c r="H27" s="2">
        <f t="shared" si="3"/>
        <v>269.87603646937515</v>
      </c>
      <c r="I27" s="2">
        <f t="shared" si="3"/>
        <v>300.71901206587512</v>
      </c>
      <c r="J27" s="2">
        <f t="shared" si="3"/>
        <v>313.24897090195327</v>
      </c>
      <c r="K27" s="2">
        <f t="shared" si="3"/>
        <v>300.71901206587512</v>
      </c>
      <c r="L27" s="2">
        <f t="shared" si="3"/>
        <v>345.82686387575637</v>
      </c>
      <c r="M27" s="2">
        <f t="shared" si="3"/>
        <v>380.40955026333205</v>
      </c>
      <c r="N27" s="2"/>
    </row>
    <row r="28" spans="1:14" x14ac:dyDescent="0.25">
      <c r="B28" t="s">
        <v>2</v>
      </c>
      <c r="C28" s="2">
        <v>-110.3</v>
      </c>
      <c r="D28" s="2">
        <f t="shared" ref="D28:M28" si="4">D24*D8</f>
        <v>0</v>
      </c>
      <c r="E28" s="2">
        <f t="shared" si="4"/>
        <v>235.04782500000002</v>
      </c>
      <c r="F28" s="2">
        <f t="shared" si="4"/>
        <v>423.08608500000014</v>
      </c>
      <c r="G28" s="2">
        <f t="shared" si="4"/>
        <v>571.16621475000022</v>
      </c>
      <c r="H28" s="2">
        <f t="shared" si="4"/>
        <v>963.84298739062535</v>
      </c>
      <c r="I28" s="2">
        <f t="shared" si="4"/>
        <v>1503.5950603293757</v>
      </c>
      <c r="J28" s="2">
        <f t="shared" si="4"/>
        <v>2192.7427963136729</v>
      </c>
      <c r="K28" s="2">
        <f t="shared" si="4"/>
        <v>2631.2913555764071</v>
      </c>
      <c r="L28" s="2">
        <f t="shared" si="4"/>
        <v>3025.9850589128682</v>
      </c>
      <c r="M28" s="2">
        <f t="shared" si="4"/>
        <v>3328.5835648041552</v>
      </c>
      <c r="N28" s="2"/>
    </row>
    <row r="29" spans="1:14" x14ac:dyDescent="0.25">
      <c r="B29" s="3" t="s">
        <v>12</v>
      </c>
      <c r="C29" s="2"/>
      <c r="D29" s="2">
        <f>D28-C28</f>
        <v>110.3</v>
      </c>
      <c r="E29" s="2">
        <f>E28-D28</f>
        <v>235.04782500000002</v>
      </c>
      <c r="F29" s="2">
        <f t="shared" ref="F29:M29" si="5">F28-E28</f>
        <v>188.03826000000012</v>
      </c>
      <c r="G29" s="2">
        <f t="shared" si="5"/>
        <v>148.08012975000008</v>
      </c>
      <c r="H29" s="2">
        <f t="shared" si="5"/>
        <v>392.67677264062513</v>
      </c>
      <c r="I29" s="2">
        <f t="shared" si="5"/>
        <v>539.7520729387503</v>
      </c>
      <c r="J29" s="2">
        <f t="shared" si="5"/>
        <v>689.14773598429724</v>
      </c>
      <c r="K29" s="2">
        <f t="shared" si="5"/>
        <v>438.54855926273422</v>
      </c>
      <c r="L29" s="2">
        <f t="shared" si="5"/>
        <v>394.69370333646111</v>
      </c>
      <c r="M29" s="2">
        <f t="shared" si="5"/>
        <v>302.598505891287</v>
      </c>
      <c r="N29" s="2"/>
    </row>
    <row r="30" spans="1:14" x14ac:dyDescent="0.25">
      <c r="B30" t="s">
        <v>9</v>
      </c>
      <c r="C30" s="2">
        <v>30.5</v>
      </c>
      <c r="D30" s="2">
        <f t="shared" ref="D30:M30" si="6">D10*D24</f>
        <v>41.786279999999998</v>
      </c>
      <c r="E30" s="2">
        <f t="shared" si="6"/>
        <v>62.679420000000007</v>
      </c>
      <c r="F30" s="2">
        <f t="shared" si="6"/>
        <v>95.194369125000023</v>
      </c>
      <c r="G30" s="2">
        <f t="shared" si="6"/>
        <v>142.79155368750006</v>
      </c>
      <c r="H30" s="2">
        <f t="shared" si="6"/>
        <v>192.76859747812509</v>
      </c>
      <c r="I30" s="2">
        <f t="shared" si="6"/>
        <v>250.59917672156263</v>
      </c>
      <c r="J30" s="2">
        <f t="shared" si="6"/>
        <v>313.24897090195327</v>
      </c>
      <c r="K30" s="2">
        <f t="shared" si="6"/>
        <v>375.89876508234397</v>
      </c>
      <c r="L30" s="2">
        <f t="shared" si="6"/>
        <v>432.28357984469551</v>
      </c>
      <c r="M30" s="2">
        <f t="shared" si="6"/>
        <v>475.51193782916511</v>
      </c>
      <c r="N30" s="2"/>
    </row>
    <row r="31" spans="1:14" x14ac:dyDescent="0.25">
      <c r="B31" t="s">
        <v>14</v>
      </c>
      <c r="C31" s="2"/>
      <c r="D31" s="2">
        <f>D26+D27-D29-D30</f>
        <v>521.1371200000001</v>
      </c>
      <c r="E31" s="2">
        <f t="shared" ref="E31:M31" si="7">E26+E27-E29-E30</f>
        <v>564.11478000000011</v>
      </c>
      <c r="F31" s="2">
        <f t="shared" si="7"/>
        <v>662.36477085000001</v>
      </c>
      <c r="G31" s="2">
        <f t="shared" si="7"/>
        <v>851.46074606250033</v>
      </c>
      <c r="H31" s="2">
        <f t="shared" si="7"/>
        <v>856.46373901762547</v>
      </c>
      <c r="I31" s="2">
        <f t="shared" si="7"/>
        <v>863.60331670200026</v>
      </c>
      <c r="J31" s="2">
        <f t="shared" si="7"/>
        <v>908.42201561566458</v>
      </c>
      <c r="K31" s="2">
        <f t="shared" si="7"/>
        <v>1290.5857601160476</v>
      </c>
      <c r="L31" s="2">
        <f t="shared" si="7"/>
        <v>1464.1256899957293</v>
      </c>
      <c r="M31" s="2">
        <f t="shared" si="7"/>
        <v>1742.1028267741231</v>
      </c>
      <c r="N31" s="2"/>
    </row>
    <row r="32" spans="1:14" x14ac:dyDescent="0.25">
      <c r="B32" t="s">
        <v>15</v>
      </c>
      <c r="C32" s="2">
        <f>NPV(C19,D31,E31,F31,G31,H31,I31,J31,K31,L31,M31)</f>
        <v>5078.0801577709553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x14ac:dyDescent="0.25">
      <c r="B33" t="s">
        <v>43</v>
      </c>
      <c r="C33" s="2">
        <f>M25*(1-0.4)+M27-M29-M30</f>
        <v>1314.1420827278744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25">
      <c r="B34" t="s">
        <v>16</v>
      </c>
      <c r="C34" s="2">
        <f>(C33*(1+C21)/(1+C20))/(1+C19)^E1219</f>
        <v>1265.9166851965763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25">
      <c r="B35" t="s">
        <v>31</v>
      </c>
      <c r="C35" s="2">
        <f>C32+C34</f>
        <v>6343.9968429675318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25">
      <c r="B36" t="s">
        <v>32</v>
      </c>
      <c r="C36" s="2">
        <f>C35-E45</f>
        <v>5542.5837130648224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25">
      <c r="B37" t="s">
        <v>18</v>
      </c>
      <c r="C37" t="s">
        <v>21</v>
      </c>
      <c r="D37" t="s">
        <v>22</v>
      </c>
      <c r="E37" t="s">
        <v>24</v>
      </c>
    </row>
    <row r="38" spans="2:14" x14ac:dyDescent="0.25">
      <c r="B38">
        <v>2011</v>
      </c>
      <c r="C38" s="2">
        <v>38512</v>
      </c>
      <c r="D38" s="4">
        <f>C38/C43</f>
        <v>5.1947491380752234E-2</v>
      </c>
      <c r="E38" s="4">
        <f>1*D38</f>
        <v>5.1947491380752234E-2</v>
      </c>
    </row>
    <row r="39" spans="2:14" x14ac:dyDescent="0.25">
      <c r="B39">
        <v>2012</v>
      </c>
      <c r="C39" s="2">
        <v>38512</v>
      </c>
      <c r="D39" s="4">
        <f>C39/C43</f>
        <v>5.1947491380752234E-2</v>
      </c>
      <c r="E39" s="4">
        <f>2*D39</f>
        <v>0.10389498276150447</v>
      </c>
    </row>
    <row r="40" spans="2:14" x14ac:dyDescent="0.25">
      <c r="B40">
        <v>2013</v>
      </c>
      <c r="C40" s="2">
        <v>67397</v>
      </c>
      <c r="D40" s="4">
        <f>C40/C43</f>
        <v>9.0909458781381347E-2</v>
      </c>
      <c r="E40" s="4">
        <f>3*D40</f>
        <v>0.27272837634414404</v>
      </c>
    </row>
    <row r="41" spans="2:14" x14ac:dyDescent="0.25">
      <c r="B41">
        <v>2014</v>
      </c>
      <c r="C41" s="2">
        <v>452521</v>
      </c>
      <c r="D41" s="4">
        <f>C41/C43</f>
        <v>0.61038976804916345</v>
      </c>
      <c r="E41" s="4">
        <f>4*D41</f>
        <v>2.4415590721966538</v>
      </c>
    </row>
    <row r="42" spans="2:14" x14ac:dyDescent="0.25">
      <c r="B42">
        <v>2015</v>
      </c>
      <c r="C42" s="2">
        <v>144422</v>
      </c>
      <c r="D42" s="4">
        <f>C42/C43</f>
        <v>0.19480579040795076</v>
      </c>
      <c r="E42" s="4">
        <f>5*D42</f>
        <v>0.97402895203975381</v>
      </c>
    </row>
    <row r="43" spans="2:14" x14ac:dyDescent="0.25">
      <c r="B43" t="s">
        <v>20</v>
      </c>
      <c r="C43" s="2">
        <f>SUM(C38:C42)</f>
        <v>741364</v>
      </c>
    </row>
    <row r="44" spans="2:14" x14ac:dyDescent="0.25">
      <c r="B44" t="s">
        <v>19</v>
      </c>
      <c r="E44" s="4">
        <f>SUM(E38:E42)</f>
        <v>3.8441588747228086</v>
      </c>
    </row>
    <row r="45" spans="2:14" x14ac:dyDescent="0.25">
      <c r="B45" t="s">
        <v>23</v>
      </c>
      <c r="E45" s="6">
        <f>PV(0.0465,3.84,51.9,741.4,0)*-1</f>
        <v>801.4131299027091</v>
      </c>
      <c r="F45" s="5"/>
    </row>
    <row r="46" spans="2:14" ht="17.25" x14ac:dyDescent="0.25">
      <c r="B46" t="s">
        <v>39</v>
      </c>
    </row>
    <row r="47" spans="2:14" ht="17.25" x14ac:dyDescent="0.25">
      <c r="B47" t="s">
        <v>42</v>
      </c>
    </row>
  </sheetData>
  <mergeCells count="2">
    <mergeCell ref="D1:H1"/>
    <mergeCell ref="D2:M2"/>
  </mergeCells>
  <pageMargins left="0.7" right="0.7" top="0.75" bottom="0.75" header="0.3" footer="0.3"/>
  <pageSetup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dcterms:created xsi:type="dcterms:W3CDTF">2011-06-14T16:30:34Z</dcterms:created>
  <dcterms:modified xsi:type="dcterms:W3CDTF">2012-02-05T19:03:59Z</dcterms:modified>
</cp:coreProperties>
</file>