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955" windowHeight="14595" activeTab="0"/>
  </bookViews>
  <sheets>
    <sheet name="Home" sheetId="1" r:id="rId1"/>
    <sheet name="Blending" sheetId="2" r:id="rId2"/>
    <sheet name="Helical Ribbon" sheetId="3" r:id="rId3"/>
    <sheet name="Settling Velocity" sheetId="4" r:id="rId4"/>
    <sheet name="Gas-Liquid" sheetId="5" r:id="rId5"/>
    <sheet name="Mechanical Design" sheetId="6" r:id="rId6"/>
  </sheets>
  <definedNames>
    <definedName name="coefficients">'Settling Velocity'!$B$41:$D$44</definedName>
    <definedName name="CorrectionFactor">'Settling Velocity'!$C$47:$D$58</definedName>
    <definedName name="D">'Mechanical Design'!$G$8</definedName>
    <definedName name="Dsi">'Mechanical Design'!$D$8</definedName>
    <definedName name="fH">'Mechanical Design'!$G$11</definedName>
    <definedName name="GassedPower">'Gas-Liquid'!$D$49</definedName>
    <definedName name="hp">'Mechanical Design'!$G$23</definedName>
    <definedName name="ImpellerSpeed">'Gas-Liquid'!$D$10</definedName>
    <definedName name="L">'Mechanical Design'!$G$14</definedName>
    <definedName name="L_1">'Mechanical Design'!$G$27</definedName>
    <definedName name="L_1si">'Mechanical Design'!$D$27</definedName>
    <definedName name="L_2">'Mechanical Design'!$G$28</definedName>
    <definedName name="L_2si">'Mechanical Design'!$D$28</definedName>
    <definedName name="Lsi">'Mechanical Design'!$D$14</definedName>
    <definedName name="NoImpellers">'Mechanical Design'!$G$9</definedName>
    <definedName name="Np">'Mechanical Design'!$G$10</definedName>
    <definedName name="Npsi">'Mechanical Design'!$D$10</definedName>
    <definedName name="NStart">'Gas-Liquid'!$C$55</definedName>
    <definedName name="Regime">'Gas-Liquid'!$D$40</definedName>
    <definedName name="ro">'Mechanical Design'!$G$22</definedName>
    <definedName name="rosi">'Mechanical Design'!$D$22</definedName>
    <definedName name="rpm">'Mechanical Design'!$G$13</definedName>
    <definedName name="rps">'Mechanical Design'!$D$13</definedName>
    <definedName name="Sb">'Mechanical Design'!$G$15</definedName>
    <definedName name="Sbsi">'Mechanical Design'!$D$15</definedName>
    <definedName name="ShaftD">'Mechanical Design'!$G$45</definedName>
    <definedName name="ShaftDsi">'Mechanical Design'!$D$45</definedName>
    <definedName name="solids">'Settling Velocity'!$B$41:$B$44</definedName>
    <definedName name="W">'Mechanical Design'!$D$23</definedName>
    <definedName name="Whydrofoil">'Mechanical Design'!$G$51</definedName>
    <definedName name="Whydrofoilkg">'Mechanical Design'!$D$51</definedName>
    <definedName name="Wimpeller">'Mechanical Design'!$G$52</definedName>
    <definedName name="WPBT">'Mechanical Design'!$G$52</definedName>
    <definedName name="WPBTkg">'Mechanical Design'!$D$52</definedName>
    <definedName name="Wsi">'Mechanical Design'!$D$52</definedName>
  </definedNames>
  <calcPr fullCalcOnLoad="1"/>
</workbook>
</file>

<file path=xl/sharedStrings.xml><?xml version="1.0" encoding="utf-8"?>
<sst xmlns="http://schemas.openxmlformats.org/spreadsheetml/2006/main" count="478" uniqueCount="241">
  <si>
    <t>Inputs</t>
  </si>
  <si>
    <t>Solids</t>
  </si>
  <si>
    <t>Liquid</t>
  </si>
  <si>
    <t>Other</t>
  </si>
  <si>
    <t>gravitational acceleration</t>
  </si>
  <si>
    <t>g</t>
  </si>
  <si>
    <t>SI Units</t>
  </si>
  <si>
    <t>US Units</t>
  </si>
  <si>
    <t>m/s2</t>
  </si>
  <si>
    <t>ft/s2</t>
  </si>
  <si>
    <t>density</t>
  </si>
  <si>
    <t>ps</t>
  </si>
  <si>
    <t>p</t>
  </si>
  <si>
    <t>lb/ft3</t>
  </si>
  <si>
    <t>kg/m3</t>
  </si>
  <si>
    <t>nominal diameter</t>
  </si>
  <si>
    <t>in</t>
  </si>
  <si>
    <t>v</t>
  </si>
  <si>
    <t>kinematic viscosity</t>
  </si>
  <si>
    <t>dn</t>
  </si>
  <si>
    <t>Calculations and Results</t>
  </si>
  <si>
    <t>s</t>
  </si>
  <si>
    <t>specific gravity, solids</t>
  </si>
  <si>
    <t>Data</t>
  </si>
  <si>
    <t>Crushed</t>
  </si>
  <si>
    <t>Natural Sediment</t>
  </si>
  <si>
    <t>Well-Rounded</t>
  </si>
  <si>
    <t>Spheres</t>
  </si>
  <si>
    <t>A</t>
  </si>
  <si>
    <t>B</t>
  </si>
  <si>
    <t>Descriptive</t>
  </si>
  <si>
    <t>formula coefficient A</t>
  </si>
  <si>
    <t>formula coefficient B</t>
  </si>
  <si>
    <t>dimensionless settling velocity</t>
  </si>
  <si>
    <t>W*</t>
  </si>
  <si>
    <t>S*</t>
  </si>
  <si>
    <t>dimensionless particle parameter</t>
  </si>
  <si>
    <t>Pa-s</t>
  </si>
  <si>
    <t>cP</t>
  </si>
  <si>
    <t>u</t>
  </si>
  <si>
    <t>dynamic viscosity</t>
  </si>
  <si>
    <t>cSt</t>
  </si>
  <si>
    <t>mm</t>
  </si>
  <si>
    <t>ws</t>
  </si>
  <si>
    <t>settling velocity</t>
  </si>
  <si>
    <t>cm/s</t>
  </si>
  <si>
    <t>ft/min</t>
  </si>
  <si>
    <t>D/T</t>
  </si>
  <si>
    <t>D</t>
  </si>
  <si>
    <t>T</t>
  </si>
  <si>
    <t>N</t>
  </si>
  <si>
    <t>m</t>
  </si>
  <si>
    <t>Density, liquid</t>
  </si>
  <si>
    <t>ft</t>
  </si>
  <si>
    <t>rpm</t>
  </si>
  <si>
    <t>Gas flow rate, actual</t>
  </si>
  <si>
    <t>acfm</t>
  </si>
  <si>
    <t>am3/h</t>
  </si>
  <si>
    <t>Tank diameter</t>
  </si>
  <si>
    <t>Calculations</t>
  </si>
  <si>
    <t>Superficial gas velocity</t>
  </si>
  <si>
    <t>m/s</t>
  </si>
  <si>
    <t>ft/s</t>
  </si>
  <si>
    <t>Tank cross-section</t>
  </si>
  <si>
    <t>m2</t>
  </si>
  <si>
    <t>ft2</t>
  </si>
  <si>
    <t>m3/s</t>
  </si>
  <si>
    <t>Impeller diameter</t>
  </si>
  <si>
    <t>Impeller speed</t>
  </si>
  <si>
    <t>rps</t>
  </si>
  <si>
    <t>ft3/s</t>
  </si>
  <si>
    <t>Gravitational acceleration</t>
  </si>
  <si>
    <t>Gas Flow Number</t>
  </si>
  <si>
    <t>NFl</t>
  </si>
  <si>
    <t>QG</t>
  </si>
  <si>
    <t>Impeller Froude Number</t>
  </si>
  <si>
    <t>NFr</t>
  </si>
  <si>
    <t>Impeller ratio</t>
  </si>
  <si>
    <t>RPD</t>
  </si>
  <si>
    <t>Relative Power Demand</t>
  </si>
  <si>
    <t>H</t>
  </si>
  <si>
    <t>Liquid height</t>
  </si>
  <si>
    <t>V</t>
  </si>
  <si>
    <t>Volume</t>
  </si>
  <si>
    <t>m3</t>
  </si>
  <si>
    <t>ft3</t>
  </si>
  <si>
    <t>NP</t>
  </si>
  <si>
    <t>Power number</t>
  </si>
  <si>
    <t>pL</t>
  </si>
  <si>
    <t>uL</t>
  </si>
  <si>
    <t>Viscosity, liquid</t>
  </si>
  <si>
    <t>lb/ft-s</t>
  </si>
  <si>
    <t>P</t>
  </si>
  <si>
    <t>Power, ungassed</t>
  </si>
  <si>
    <t>Nre</t>
  </si>
  <si>
    <t>Reynolds Number</t>
  </si>
  <si>
    <t>gc</t>
  </si>
  <si>
    <t>Conversion factor</t>
  </si>
  <si>
    <t>hp</t>
  </si>
  <si>
    <t>W</t>
  </si>
  <si>
    <t>pG</t>
  </si>
  <si>
    <t>Power, gassed</t>
  </si>
  <si>
    <t>Gas Flow number at transition</t>
  </si>
  <si>
    <t>RPD at transition</t>
  </si>
  <si>
    <t>Regime</t>
  </si>
  <si>
    <t>Recirculating</t>
  </si>
  <si>
    <t>correction factor</t>
  </si>
  <si>
    <t>terminal settling velocity</t>
  </si>
  <si>
    <t>Coefficients for Equation</t>
  </si>
  <si>
    <t>Correction for Solids Concentration</t>
  </si>
  <si>
    <t>Solids%</t>
  </si>
  <si>
    <t>Factor</t>
  </si>
  <si>
    <t>wt %</t>
  </si>
  <si>
    <t>solids concentration in slurry</t>
  </si>
  <si>
    <t>Geometry and Parameters</t>
  </si>
  <si>
    <t>Gas</t>
  </si>
  <si>
    <t>Gas Dispersion Regime</t>
  </si>
  <si>
    <t>No discernable actionFlooding</t>
  </si>
  <si>
    <t>by Stephen Hall</t>
  </si>
  <si>
    <t>This Excel workbook includes Visual Basic for Application function subroutines.</t>
  </si>
  <si>
    <t>Macros must be enabled for them to work.</t>
  </si>
  <si>
    <t xml:space="preserve">ChemEng Software sells an Excel template called PIPESIZE. </t>
  </si>
  <si>
    <t>www.chemengsoftware.com</t>
  </si>
  <si>
    <t>PIPESIZE sizes pipes for gases and liquids. It includes a database of properties for piping materials, fluids, roughness values, and recommended velocities. Order on-line or by telephone, 24-h/d; credit cards accepted.</t>
  </si>
  <si>
    <t>Chapter 16: Blending and Agitation</t>
  </si>
  <si>
    <t>lb</t>
  </si>
  <si>
    <t>kg</t>
  </si>
  <si>
    <t>Equivalent weight, not including shaft</t>
  </si>
  <si>
    <t>4-blade PBT</t>
  </si>
  <si>
    <t>hydrofoil</t>
  </si>
  <si>
    <t>Weight of hub</t>
  </si>
  <si>
    <t>Shaft diameter</t>
  </si>
  <si>
    <t>in-lbf</t>
  </si>
  <si>
    <t>N-m</t>
  </si>
  <si>
    <t>Torque</t>
  </si>
  <si>
    <t>psi</t>
  </si>
  <si>
    <t>N/m2</t>
  </si>
  <si>
    <t>Allowable tensile stress</t>
  </si>
  <si>
    <t>Allowable shear stress</t>
  </si>
  <si>
    <t>lb/in3</t>
  </si>
  <si>
    <t>Shaft density</t>
  </si>
  <si>
    <t>Modulus of elasticity</t>
  </si>
  <si>
    <t>Bearing span, Sb</t>
  </si>
  <si>
    <t>Distance between impellers</t>
  </si>
  <si>
    <t>Power Number</t>
  </si>
  <si>
    <t>Number of impellers</t>
  </si>
  <si>
    <t>Speed</t>
  </si>
  <si>
    <t>Diameter</t>
  </si>
  <si>
    <t>Impellers</t>
  </si>
  <si>
    <t>Shaft</t>
  </si>
  <si>
    <t>Density of mixed liquid</t>
  </si>
  <si>
    <t>Shaft length from bottom bearing</t>
  </si>
  <si>
    <t>Mixture</t>
  </si>
  <si>
    <t>Power, total</t>
  </si>
  <si>
    <t>Conversion factors for blade weight formula</t>
  </si>
  <si>
    <t>Np</t>
  </si>
  <si>
    <t>L</t>
  </si>
  <si>
    <t>Sb</t>
  </si>
  <si>
    <t>Bending moment (maximum)</t>
  </si>
  <si>
    <t>ro</t>
  </si>
  <si>
    <t>Shaft length, top impeller</t>
  </si>
  <si>
    <t>Shaft length, middle impeller</t>
  </si>
  <si>
    <t>Shaft length, bottom impeller</t>
  </si>
  <si>
    <t>Geometry and Power - impeller-specific</t>
  </si>
  <si>
    <t>Power per impeller</t>
  </si>
  <si>
    <t>Weight of blades, per impeller</t>
  </si>
  <si>
    <t>fH</t>
  </si>
  <si>
    <t>Hydraulic service factor</t>
  </si>
  <si>
    <t>Intermediate Calculations</t>
  </si>
  <si>
    <t>Based on shear</t>
  </si>
  <si>
    <t>Based on tensile</t>
  </si>
  <si>
    <t>Selected shaft diameter</t>
  </si>
  <si>
    <t>Read from chart</t>
  </si>
  <si>
    <t>We</t>
  </si>
  <si>
    <t>Total weight for each impeller with hub</t>
  </si>
  <si>
    <t>Natural frequency - First Critical Speed</t>
  </si>
  <si>
    <t>Tank Geometry</t>
  </si>
  <si>
    <t>Filled Height</t>
  </si>
  <si>
    <t>Impeller</t>
  </si>
  <si>
    <t>Lowest impeller</t>
  </si>
  <si>
    <t>Distance to mounting flange</t>
  </si>
  <si>
    <t>Distance to lower bearing</t>
  </si>
  <si>
    <t>Type</t>
  </si>
  <si>
    <t>Projected blade height</t>
  </si>
  <si>
    <t>Distance off bottom</t>
  </si>
  <si>
    <t>Second impeller</t>
  </si>
  <si>
    <t>Baffles</t>
  </si>
  <si>
    <t>Number of baffles</t>
  </si>
  <si>
    <t>Baffle width</t>
  </si>
  <si>
    <t>Space between baffle and wall</t>
  </si>
  <si>
    <t>D1</t>
  </si>
  <si>
    <t>D2</t>
  </si>
  <si>
    <t>W1</t>
  </si>
  <si>
    <t>W2</t>
  </si>
  <si>
    <t>C</t>
  </si>
  <si>
    <t>L1</t>
  </si>
  <si>
    <t>L'</t>
  </si>
  <si>
    <t>L2</t>
  </si>
  <si>
    <t>Data Lookup and Calculations</t>
  </si>
  <si>
    <t>Fluid</t>
  </si>
  <si>
    <t>Mixing purpose</t>
  </si>
  <si>
    <t>Degree of agitation</t>
  </si>
  <si>
    <t>Fluid density</t>
  </si>
  <si>
    <t>Fluid viscosity</t>
  </si>
  <si>
    <t>mu</t>
  </si>
  <si>
    <t>kg/m-s</t>
  </si>
  <si>
    <t>Reynolds number</t>
  </si>
  <si>
    <t>Pumping number</t>
  </si>
  <si>
    <t>Pumping capacity</t>
  </si>
  <si>
    <t>Power</t>
  </si>
  <si>
    <t>ft-lbf/s</t>
  </si>
  <si>
    <t>Power number - lower impeller</t>
  </si>
  <si>
    <t>Power number - upper impeller</t>
  </si>
  <si>
    <t>Total power (assume additive)</t>
  </si>
  <si>
    <t>Q</t>
  </si>
  <si>
    <t>NQ</t>
  </si>
  <si>
    <t>Mixing zone calculation, Np^(1/3) * Nre</t>
  </si>
  <si>
    <t>Mixing zone</t>
  </si>
  <si>
    <t>Mixing time, 95% uniformity</t>
  </si>
  <si>
    <t>Theta95</t>
  </si>
  <si>
    <t>Desired mixing uniformity</t>
  </si>
  <si>
    <t>Adjusted mixing time</t>
  </si>
  <si>
    <t>Turnovers, 95% uniformity</t>
  </si>
  <si>
    <t>Helical Ribbon Geometry</t>
  </si>
  <si>
    <t>wall clearance</t>
  </si>
  <si>
    <t>clearance % of tank diameter</t>
  </si>
  <si>
    <t>c</t>
  </si>
  <si>
    <t>h</t>
  </si>
  <si>
    <t>Overall height of impeller</t>
  </si>
  <si>
    <t>Pitch (height of one turn)</t>
  </si>
  <si>
    <t>w</t>
  </si>
  <si>
    <t>Blade width</t>
  </si>
  <si>
    <t>nb</t>
  </si>
  <si>
    <t>Number of blades</t>
  </si>
  <si>
    <t>Kp</t>
  </si>
  <si>
    <t>Power factor for helical ribbon</t>
  </si>
  <si>
    <t>ft-lb/s</t>
  </si>
  <si>
    <t>Theta</t>
  </si>
  <si>
    <t>Blend time</t>
  </si>
  <si>
    <t>Blend</t>
  </si>
  <si>
    <t>Rules of Thumb for Chemical Engineers, 5th Edition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</si>
</sst>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\-#,##0"/>
    <numFmt numFmtId="170" formatCode="#,##0.##_)\x\10\^\10"/>
    <numFmt numFmtId="171" formatCode="_(* #,##0.000_);_(* \(#,##0.000\);_(* &quot;-&quot;??_);_(@_)"/>
    <numFmt numFmtId="172" formatCode="_(* #,##0_);_(* \(#,##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_);_(* \(#,##0.000\);_(* &quot;-&quot;???_);_(@_)"/>
    <numFmt numFmtId="176" formatCode="_(* #,##0.0_);_(* \(#,##0.0\);_(* &quot;-&quot;?_);_(@_)"/>
    <numFmt numFmtId="177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/>
    </xf>
    <xf numFmtId="172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2" fillId="33" borderId="0" xfId="56" applyFill="1">
      <alignment/>
      <protection/>
    </xf>
    <xf numFmtId="0" fontId="3" fillId="0" borderId="0" xfId="56" applyFont="1">
      <alignment/>
      <protection/>
    </xf>
    <xf numFmtId="0" fontId="4" fillId="33" borderId="0" xfId="56" applyFont="1" applyFill="1" applyAlignment="1">
      <alignment horizontal="center"/>
      <protection/>
    </xf>
    <xf numFmtId="0" fontId="5" fillId="33" borderId="0" xfId="56" applyFont="1" applyFill="1" applyAlignment="1">
      <alignment vertical="top" wrapText="1"/>
      <protection/>
    </xf>
    <xf numFmtId="0" fontId="6" fillId="33" borderId="0" xfId="52" applyFill="1" applyAlignment="1" applyProtection="1">
      <alignment/>
      <protection/>
    </xf>
    <xf numFmtId="0" fontId="2" fillId="33" borderId="0" xfId="56" applyFill="1" applyBorder="1" applyAlignment="1">
      <alignment wrapText="1"/>
      <protection/>
    </xf>
    <xf numFmtId="0" fontId="7" fillId="33" borderId="0" xfId="56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4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0" fillId="34" borderId="0" xfId="0" applyFill="1" applyAlignment="1">
      <alignment/>
    </xf>
    <xf numFmtId="172" fontId="0" fillId="34" borderId="0" xfId="42" applyNumberFormat="1" applyFont="1" applyFill="1" applyAlignment="1">
      <alignment/>
    </xf>
    <xf numFmtId="9" fontId="44" fillId="34" borderId="0" xfId="0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43" fontId="0" fillId="34" borderId="0" xfId="0" applyNumberFormat="1" applyFill="1" applyAlignment="1">
      <alignment/>
    </xf>
    <xf numFmtId="0" fontId="0" fillId="30" borderId="0" xfId="0" applyFill="1" applyAlignment="1">
      <alignment/>
    </xf>
    <xf numFmtId="0" fontId="0" fillId="30" borderId="0" xfId="0" applyFill="1" applyAlignment="1">
      <alignment/>
    </xf>
    <xf numFmtId="172" fontId="0" fillId="30" borderId="0" xfId="42" applyNumberFormat="1" applyFont="1" applyFill="1" applyAlignment="1">
      <alignment/>
    </xf>
    <xf numFmtId="9" fontId="0" fillId="30" borderId="0" xfId="0" applyNumberFormat="1" applyFill="1" applyAlignment="1">
      <alignment/>
    </xf>
    <xf numFmtId="164" fontId="0" fillId="30" borderId="0" xfId="42" applyNumberFormat="1" applyFont="1" applyFill="1" applyAlignment="1">
      <alignment/>
    </xf>
    <xf numFmtId="43" fontId="0" fillId="30" borderId="0" xfId="0" applyNumberFormat="1" applyFill="1" applyAlignment="1">
      <alignment/>
    </xf>
    <xf numFmtId="177" fontId="0" fillId="34" borderId="0" xfId="59" applyNumberFormat="1" applyFont="1" applyFill="1" applyAlignment="1">
      <alignment/>
    </xf>
    <xf numFmtId="43" fontId="0" fillId="0" borderId="0" xfId="42" applyFont="1" applyFill="1" applyAlignment="1">
      <alignment/>
    </xf>
    <xf numFmtId="173" fontId="44" fillId="0" borderId="0" xfId="42" applyNumberFormat="1" applyFont="1" applyFill="1" applyAlignment="1">
      <alignment/>
    </xf>
    <xf numFmtId="172" fontId="44" fillId="34" borderId="0" xfId="42" applyNumberFormat="1" applyFont="1" applyFill="1" applyAlignment="1">
      <alignment/>
    </xf>
    <xf numFmtId="164" fontId="44" fillId="34" borderId="0" xfId="42" applyNumberFormat="1" applyFont="1" applyFill="1" applyAlignment="1">
      <alignment/>
    </xf>
    <xf numFmtId="9" fontId="44" fillId="34" borderId="0" xfId="42" applyNumberFormat="1" applyFont="1" applyFill="1" applyAlignment="1">
      <alignment/>
    </xf>
    <xf numFmtId="173" fontId="44" fillId="34" borderId="0" xfId="42" applyNumberFormat="1" applyFont="1" applyFill="1" applyAlignment="1">
      <alignment/>
    </xf>
    <xf numFmtId="43" fontId="0" fillId="34" borderId="0" xfId="42" applyFont="1" applyFill="1" applyAlignment="1">
      <alignment/>
    </xf>
    <xf numFmtId="43" fontId="0" fillId="30" borderId="0" xfId="42" applyFont="1" applyFill="1" applyAlignment="1">
      <alignment/>
    </xf>
    <xf numFmtId="171" fontId="0" fillId="30" borderId="0" xfId="42" applyNumberFormat="1" applyFont="1" applyFill="1" applyAlignment="1">
      <alignment/>
    </xf>
    <xf numFmtId="9" fontId="0" fillId="30" borderId="0" xfId="42" applyNumberFormat="1" applyFont="1" applyFill="1" applyAlignment="1">
      <alignment/>
    </xf>
    <xf numFmtId="174" fontId="0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174" fontId="0" fillId="30" borderId="0" xfId="42" applyNumberFormat="1" applyFont="1" applyFill="1" applyAlignment="1">
      <alignment/>
    </xf>
    <xf numFmtId="43" fontId="0" fillId="30" borderId="0" xfId="42" applyNumberFormat="1" applyFont="1" applyFill="1" applyAlignment="1">
      <alignment/>
    </xf>
    <xf numFmtId="43" fontId="44" fillId="34" borderId="0" xfId="42" applyFont="1" applyFill="1" applyAlignment="1">
      <alignment/>
    </xf>
    <xf numFmtId="171" fontId="0" fillId="34" borderId="0" xfId="42" applyNumberFormat="1" applyFont="1" applyFill="1" applyAlignment="1">
      <alignment/>
    </xf>
    <xf numFmtId="11" fontId="0" fillId="0" borderId="0" xfId="0" applyNumberFormat="1" applyFill="1" applyAlignment="1">
      <alignment/>
    </xf>
    <xf numFmtId="164" fontId="44" fillId="30" borderId="0" xfId="42" applyNumberFormat="1" applyFont="1" applyFill="1" applyAlignment="1">
      <alignment/>
    </xf>
    <xf numFmtId="172" fontId="44" fillId="30" borderId="0" xfId="42" applyNumberFormat="1" applyFont="1" applyFill="1" applyAlignment="1">
      <alignment/>
    </xf>
    <xf numFmtId="11" fontId="44" fillId="30" borderId="0" xfId="0" applyNumberFormat="1" applyFont="1" applyFill="1" applyAlignment="1">
      <alignment/>
    </xf>
    <xf numFmtId="43" fontId="44" fillId="30" borderId="0" xfId="42" applyFont="1" applyFill="1" applyAlignment="1">
      <alignment/>
    </xf>
    <xf numFmtId="171" fontId="44" fillId="30" borderId="0" xfId="42" applyNumberFormat="1" applyFont="1" applyFill="1" applyAlignment="1">
      <alignment/>
    </xf>
    <xf numFmtId="164" fontId="0" fillId="30" borderId="0" xfId="42" applyNumberFormat="1" applyFont="1" applyFill="1" applyAlignment="1">
      <alignment horizontal="right"/>
    </xf>
    <xf numFmtId="164" fontId="0" fillId="30" borderId="0" xfId="0" applyNumberFormat="1" applyFill="1" applyAlignment="1">
      <alignment/>
    </xf>
    <xf numFmtId="43" fontId="0" fillId="34" borderId="0" xfId="42" applyNumberFormat="1" applyFont="1" applyFill="1" applyAlignment="1">
      <alignment/>
    </xf>
    <xf numFmtId="11" fontId="0" fillId="34" borderId="0" xfId="0" applyNumberFormat="1" applyFill="1" applyAlignment="1">
      <alignment/>
    </xf>
    <xf numFmtId="43" fontId="0" fillId="34" borderId="0" xfId="42" applyFont="1" applyFill="1" applyAlignment="1">
      <alignment horizontal="right"/>
    </xf>
    <xf numFmtId="172" fontId="0" fillId="34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-0.00525"/>
          <c:w val="0.9485"/>
          <c:h val="0.94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'Gas-Liquid'!$C$56:$C$77</c:f>
              <c:numCache/>
            </c:numRef>
          </c:xVal>
          <c:yVal>
            <c:numRef>
              <c:f>'Gas-Liquid'!$D$56:$D$77</c:f>
              <c:numCache/>
            </c:numRef>
          </c:yVal>
          <c:smooth val="0"/>
        </c:ser>
        <c:axId val="61496316"/>
        <c:axId val="16595933"/>
      </c:scatterChart>
      <c:valAx>
        <c:axId val="6149631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Impeller Speed, rpm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95933"/>
        <c:crossesAt val="1"/>
        <c:crossBetween val="midCat"/>
        <c:dispUnits/>
      </c:valAx>
      <c:valAx>
        <c:axId val="1659593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Ungassed Power, W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963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hemengsoftware.com/" TargetMode="External" /><Relationship Id="rId3" Type="http://schemas.openxmlformats.org/officeDocument/2006/relationships/hyperlink" Target="http://www.chemengsoftware.com/" TargetMode="External" /><Relationship Id="rId4" Type="http://schemas.openxmlformats.org/officeDocument/2006/relationships/image" Target="../media/image5.png" /><Relationship Id="rId5" Type="http://schemas.openxmlformats.org/officeDocument/2006/relationships/hyperlink" Target="http://store.elsevier.com/product.jsp?isbn=9780123877857&amp;_requestid=96716" TargetMode="External" /><Relationship Id="rId6" Type="http://schemas.openxmlformats.org/officeDocument/2006/relationships/hyperlink" Target="http://store.elsevier.com/product.jsp?isbn=9780123877857&amp;_requestid=96716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3619500</xdr:colOff>
      <xdr:row>15</xdr:row>
      <xdr:rowOff>76200</xdr:rowOff>
    </xdr:from>
    <xdr:to>
      <xdr:col>0</xdr:col>
      <xdr:colOff>5410200</xdr:colOff>
      <xdr:row>17</xdr:row>
      <xdr:rowOff>123825</xdr:rowOff>
    </xdr:to>
    <xdr:pic>
      <xdr:nvPicPr>
        <xdr:cNvPr id="1" name="Picture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562225"/>
          <a:ext cx="1790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5438775</xdr:colOff>
      <xdr:row>0</xdr:row>
      <xdr:rowOff>123825</xdr:rowOff>
    </xdr:from>
    <xdr:to>
      <xdr:col>1</xdr:col>
      <xdr:colOff>38100</xdr:colOff>
      <xdr:row>11</xdr:row>
      <xdr:rowOff>28575</xdr:rowOff>
    </xdr:to>
    <xdr:pic>
      <xdr:nvPicPr>
        <xdr:cNvPr id="2" name="Picture 93" descr="Rules of Thumb for Chemical Engineers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123825"/>
          <a:ext cx="14668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123825</xdr:rowOff>
    </xdr:from>
    <xdr:to>
      <xdr:col>4</xdr:col>
      <xdr:colOff>533400</xdr:colOff>
      <xdr:row>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9150" y="123825"/>
          <a:ext cx="34671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Problem Statement: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 the blend time for a mixer with one or two impellers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95250</xdr:rowOff>
    </xdr:from>
    <xdr:to>
      <xdr:col>5</xdr:col>
      <xdr:colOff>133350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" y="95250"/>
          <a:ext cx="34671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Problem Statement: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 power and blend time for a helical ribbon impeller working in the laminar flow range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34</xdr:row>
      <xdr:rowOff>9525</xdr:rowOff>
    </xdr:from>
    <xdr:to>
      <xdr:col>8</xdr:col>
      <xdr:colOff>209550</xdr:colOff>
      <xdr:row>35</xdr:row>
      <xdr:rowOff>57150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5800725" y="6486525"/>
          <a:ext cx="82867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Result</a:t>
          </a:r>
        </a:p>
      </xdr:txBody>
    </xdr:sp>
    <xdr:clientData/>
  </xdr:twoCellAnchor>
  <xdr:twoCellAnchor>
    <xdr:from>
      <xdr:col>6</xdr:col>
      <xdr:colOff>590550</xdr:colOff>
      <xdr:row>31</xdr:row>
      <xdr:rowOff>180975</xdr:rowOff>
    </xdr:from>
    <xdr:to>
      <xdr:col>7</xdr:col>
      <xdr:colOff>409575</xdr:colOff>
      <xdr:row>34</xdr:row>
      <xdr:rowOff>9525</xdr:rowOff>
    </xdr:to>
    <xdr:sp>
      <xdr:nvSpPr>
        <xdr:cNvPr id="2" name="Straight Arrow Connector 3"/>
        <xdr:cNvSpPr>
          <a:spLocks/>
        </xdr:cNvSpPr>
      </xdr:nvSpPr>
      <xdr:spPr>
        <a:xfrm rot="16200000" flipV="1">
          <a:off x="5791200" y="6086475"/>
          <a:ext cx="42862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7</xdr:col>
      <xdr:colOff>409575</xdr:colOff>
      <xdr:row>34</xdr:row>
      <xdr:rowOff>9525</xdr:rowOff>
    </xdr:to>
    <xdr:sp>
      <xdr:nvSpPr>
        <xdr:cNvPr id="3" name="Straight Connector 5"/>
        <xdr:cNvSpPr>
          <a:spLocks/>
        </xdr:cNvSpPr>
      </xdr:nvSpPr>
      <xdr:spPr>
        <a:xfrm rot="16200000" flipV="1">
          <a:off x="3981450" y="6096000"/>
          <a:ext cx="2238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142875</xdr:rowOff>
    </xdr:from>
    <xdr:to>
      <xdr:col>5</xdr:col>
      <xdr:colOff>95250</xdr:colOff>
      <xdr:row>3</xdr:row>
      <xdr:rowOff>9525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219200" y="142875"/>
          <a:ext cx="34671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Problem Statement: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 the settling velocity of solids in liquid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54</xdr:row>
      <xdr:rowOff>9525</xdr:rowOff>
    </xdr:from>
    <xdr:to>
      <xdr:col>18</xdr:col>
      <xdr:colOff>504825</xdr:colOff>
      <xdr:row>76</xdr:row>
      <xdr:rowOff>171450</xdr:rowOff>
    </xdr:to>
    <xdr:graphicFrame>
      <xdr:nvGraphicFramePr>
        <xdr:cNvPr id="1" name="Chart 8"/>
        <xdr:cNvGraphicFramePr/>
      </xdr:nvGraphicFramePr>
      <xdr:xfrm>
        <a:off x="6029325" y="10296525"/>
        <a:ext cx="70770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38</xdr:row>
      <xdr:rowOff>180975</xdr:rowOff>
    </xdr:from>
    <xdr:to>
      <xdr:col>2</xdr:col>
      <xdr:colOff>600075</xdr:colOff>
      <xdr:row>43</xdr:row>
      <xdr:rowOff>0</xdr:rowOff>
    </xdr:to>
    <xdr:sp>
      <xdr:nvSpPr>
        <xdr:cNvPr id="2" name="Left Brace 9"/>
        <xdr:cNvSpPr>
          <a:spLocks/>
        </xdr:cNvSpPr>
      </xdr:nvSpPr>
      <xdr:spPr>
        <a:xfrm>
          <a:off x="2771775" y="7419975"/>
          <a:ext cx="371475" cy="771525"/>
        </a:xfrm>
        <a:prstGeom prst="leftBrace">
          <a:avLst>
            <a:gd name="adj" fmla="val -459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552450</xdr:colOff>
      <xdr:row>0</xdr:row>
      <xdr:rowOff>104775</xdr:rowOff>
    </xdr:from>
    <xdr:to>
      <xdr:col>5</xdr:col>
      <xdr:colOff>514350</xdr:colOff>
      <xdr:row>3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162050" y="104775"/>
          <a:ext cx="40005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Problem Statement: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 the ungassed and gassed power required in an agitated vessel designed for gas dispersion</a:t>
          </a:r>
        </a:p>
      </xdr:txBody>
    </xdr:sp>
    <xdr:clientData/>
  </xdr:twoCellAnchor>
  <xdr:twoCellAnchor>
    <xdr:from>
      <xdr:col>4</xdr:col>
      <xdr:colOff>381000</xdr:colOff>
      <xdr:row>50</xdr:row>
      <xdr:rowOff>104775</xdr:rowOff>
    </xdr:from>
    <xdr:to>
      <xdr:col>5</xdr:col>
      <xdr:colOff>600075</xdr:colOff>
      <xdr:row>51</xdr:row>
      <xdr:rowOff>152400</xdr:rowOff>
    </xdr:to>
    <xdr:sp>
      <xdr:nvSpPr>
        <xdr:cNvPr id="4" name="Text Box 33"/>
        <xdr:cNvSpPr txBox="1">
          <a:spLocks noChangeArrowheads="1"/>
        </xdr:cNvSpPr>
      </xdr:nvSpPr>
      <xdr:spPr>
        <a:xfrm>
          <a:off x="4419600" y="9629775"/>
          <a:ext cx="82867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Results</a:t>
          </a:r>
        </a:p>
      </xdr:txBody>
    </xdr:sp>
    <xdr:clientData/>
  </xdr:twoCellAnchor>
  <xdr:twoCellAnchor>
    <xdr:from>
      <xdr:col>3</xdr:col>
      <xdr:colOff>876300</xdr:colOff>
      <xdr:row>48</xdr:row>
      <xdr:rowOff>123825</xdr:rowOff>
    </xdr:from>
    <xdr:to>
      <xdr:col>5</xdr:col>
      <xdr:colOff>190500</xdr:colOff>
      <xdr:row>50</xdr:row>
      <xdr:rowOff>104775</xdr:rowOff>
    </xdr:to>
    <xdr:sp>
      <xdr:nvSpPr>
        <xdr:cNvPr id="5" name="Straight Connector 12"/>
        <xdr:cNvSpPr>
          <a:spLocks/>
        </xdr:cNvSpPr>
      </xdr:nvSpPr>
      <xdr:spPr>
        <a:xfrm rot="16200000" flipV="1">
          <a:off x="4029075" y="9267825"/>
          <a:ext cx="8096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48</xdr:row>
      <xdr:rowOff>171450</xdr:rowOff>
    </xdr:from>
    <xdr:to>
      <xdr:col>6</xdr:col>
      <xdr:colOff>190500</xdr:colOff>
      <xdr:row>50</xdr:row>
      <xdr:rowOff>104775</xdr:rowOff>
    </xdr:to>
    <xdr:sp>
      <xdr:nvSpPr>
        <xdr:cNvPr id="6" name="Straight Connector 15"/>
        <xdr:cNvSpPr>
          <a:spLocks/>
        </xdr:cNvSpPr>
      </xdr:nvSpPr>
      <xdr:spPr>
        <a:xfrm rot="5400000" flipH="1" flipV="1">
          <a:off x="4838700" y="9315450"/>
          <a:ext cx="609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55</xdr:row>
      <xdr:rowOff>180975</xdr:rowOff>
    </xdr:from>
    <xdr:to>
      <xdr:col>1</xdr:col>
      <xdr:colOff>1333500</xdr:colOff>
      <xdr:row>59</xdr:row>
      <xdr:rowOff>38100</xdr:rowOff>
    </xdr:to>
    <xdr:grpSp>
      <xdr:nvGrpSpPr>
        <xdr:cNvPr id="7" name="Group 20"/>
        <xdr:cNvGrpSpPr>
          <a:grpSpLocks/>
        </xdr:cNvGrpSpPr>
      </xdr:nvGrpSpPr>
      <xdr:grpSpPr>
        <a:xfrm>
          <a:off x="371475" y="10658475"/>
          <a:ext cx="1571625" cy="619125"/>
          <a:chOff x="371475" y="11039475"/>
          <a:chExt cx="1571625" cy="619125"/>
        </a:xfrm>
        <a:solidFill>
          <a:srgbClr val="FFFFFF"/>
        </a:solidFill>
      </xdr:grpSpPr>
      <xdr:sp macro="[0]!PowerCurve">
        <xdr:nvSpPr>
          <xdr:cNvPr id="8" name="Bevel 18"/>
          <xdr:cNvSpPr>
            <a:spLocks/>
          </xdr:cNvSpPr>
        </xdr:nvSpPr>
        <xdr:spPr>
          <a:xfrm>
            <a:off x="371475" y="11039475"/>
            <a:ext cx="1571625" cy="619125"/>
          </a:xfrm>
          <a:prstGeom prst="bevel">
            <a:avLst/>
          </a:prstGeom>
          <a:gradFill rotWithShape="1">
            <a:gsLst>
              <a:gs pos="0">
                <a:srgbClr val="DAFDA7"/>
              </a:gs>
              <a:gs pos="35001">
                <a:srgbClr val="E4FDC2"/>
              </a:gs>
              <a:gs pos="100000">
                <a:srgbClr val="F5FFE6"/>
              </a:gs>
            </a:gsLst>
            <a:lin ang="5400000" scaled="1"/>
          </a:gradFill>
          <a:ln w="9525" cmpd="sng">
            <a:solidFill>
              <a:srgbClr val="98B95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PowerCurve">
        <xdr:nvSpPr>
          <xdr:cNvPr id="9" name="TextBox 19"/>
          <xdr:cNvSpPr txBox="1">
            <a:spLocks noChangeArrowheads="1"/>
          </xdr:cNvSpPr>
        </xdr:nvSpPr>
        <xdr:spPr>
          <a:xfrm>
            <a:off x="523923" y="11125224"/>
            <a:ext cx="1238441" cy="4381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Regenerate Power Curve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</xdr:colOff>
      <xdr:row>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190500"/>
          <a:ext cx="49720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Problem Statement: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 shaft diameter, torque, and first critical speed, for up to 3 identical impellers on one shaft. Assume that power is equally distributed among the impellers.</a:t>
          </a:r>
        </a:p>
      </xdr:txBody>
    </xdr:sp>
    <xdr:clientData/>
  </xdr:twoCellAnchor>
  <xdr:twoCellAnchor editAs="oneCell">
    <xdr:from>
      <xdr:col>0</xdr:col>
      <xdr:colOff>85725</xdr:colOff>
      <xdr:row>68</xdr:row>
      <xdr:rowOff>0</xdr:rowOff>
    </xdr:from>
    <xdr:to>
      <xdr:col>13</xdr:col>
      <xdr:colOff>0</xdr:colOff>
      <xdr:row>100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954000"/>
          <a:ext cx="9753600" cy="616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61</xdr:row>
      <xdr:rowOff>114300</xdr:rowOff>
    </xdr:from>
    <xdr:to>
      <xdr:col>8</xdr:col>
      <xdr:colOff>342900</xdr:colOff>
      <xdr:row>62</xdr:row>
      <xdr:rowOff>161925</xdr:rowOff>
    </xdr:to>
    <xdr:sp>
      <xdr:nvSpPr>
        <xdr:cNvPr id="3" name="Text Box 33"/>
        <xdr:cNvSpPr txBox="1">
          <a:spLocks noChangeArrowheads="1"/>
        </xdr:cNvSpPr>
      </xdr:nvSpPr>
      <xdr:spPr>
        <a:xfrm>
          <a:off x="6305550" y="11734800"/>
          <a:ext cx="82867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Results</a:t>
          </a:r>
        </a:p>
      </xdr:txBody>
    </xdr:sp>
    <xdr:clientData/>
  </xdr:twoCellAnchor>
  <xdr:twoCellAnchor>
    <xdr:from>
      <xdr:col>4</xdr:col>
      <xdr:colOff>19050</xdr:colOff>
      <xdr:row>59</xdr:row>
      <xdr:rowOff>161925</xdr:rowOff>
    </xdr:from>
    <xdr:to>
      <xdr:col>7</xdr:col>
      <xdr:colOff>123825</xdr:colOff>
      <xdr:row>62</xdr:row>
      <xdr:rowOff>47625</xdr:rowOff>
    </xdr:to>
    <xdr:sp>
      <xdr:nvSpPr>
        <xdr:cNvPr id="4" name="Straight Connector 4"/>
        <xdr:cNvSpPr>
          <a:spLocks/>
        </xdr:cNvSpPr>
      </xdr:nvSpPr>
      <xdr:spPr>
        <a:xfrm rot="10800000">
          <a:off x="4276725" y="11401425"/>
          <a:ext cx="20288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60</xdr:row>
      <xdr:rowOff>28575</xdr:rowOff>
    </xdr:from>
    <xdr:to>
      <xdr:col>7</xdr:col>
      <xdr:colOff>123825</xdr:colOff>
      <xdr:row>62</xdr:row>
      <xdr:rowOff>47625</xdr:rowOff>
    </xdr:to>
    <xdr:sp>
      <xdr:nvSpPr>
        <xdr:cNvPr id="5" name="Straight Connector 7"/>
        <xdr:cNvSpPr>
          <a:spLocks/>
        </xdr:cNvSpPr>
      </xdr:nvSpPr>
      <xdr:spPr>
        <a:xfrm rot="10800000">
          <a:off x="6096000" y="11458575"/>
          <a:ext cx="2095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mengsoftwar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3.00390625" style="6" customWidth="1"/>
    <col min="2" max="2" width="90.7109375" style="6" customWidth="1"/>
    <col min="3" max="16384" width="9.140625" style="6" customWidth="1"/>
  </cols>
  <sheetData>
    <row r="1" ht="12.75"/>
    <row r="2" ht="12.75">
      <c r="B2" s="7"/>
    </row>
    <row r="3" ht="12.75">
      <c r="A3" s="8" t="s">
        <v>124</v>
      </c>
    </row>
    <row r="4" ht="12.75">
      <c r="A4" s="8" t="s">
        <v>240</v>
      </c>
    </row>
    <row r="5" ht="12.75">
      <c r="A5" s="8" t="s">
        <v>118</v>
      </c>
    </row>
    <row r="6" ht="12.75"/>
    <row r="7" ht="12.75"/>
    <row r="8" ht="12.75">
      <c r="A8" s="9"/>
    </row>
    <row r="9" ht="12.75"/>
    <row r="10" ht="12.75"/>
    <row r="11" ht="12.75"/>
    <row r="12" ht="12.75">
      <c r="A12" s="6" t="s">
        <v>119</v>
      </c>
    </row>
    <row r="13" ht="12.75">
      <c r="A13" s="6" t="s">
        <v>120</v>
      </c>
    </row>
    <row r="16" ht="12.75"/>
    <row r="17" ht="12.75">
      <c r="A17" s="6" t="s">
        <v>121</v>
      </c>
    </row>
    <row r="18" ht="12.75">
      <c r="A18" s="10" t="s">
        <v>122</v>
      </c>
    </row>
    <row r="19" ht="25.5">
      <c r="A19" s="11" t="s">
        <v>123</v>
      </c>
    </row>
    <row r="20" ht="14.25">
      <c r="A20" s="12"/>
    </row>
    <row r="21" ht="14.25">
      <c r="A21" s="12"/>
    </row>
    <row r="22" ht="14.25">
      <c r="A22" s="12"/>
    </row>
  </sheetData>
  <sheetProtection/>
  <hyperlinks>
    <hyperlink ref="A18" r:id="rId1" display="www.chemengsoftware.co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6:G6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8.8515625" style="0" customWidth="1"/>
  </cols>
  <sheetData>
    <row r="6" spans="1:7" ht="15">
      <c r="A6" s="1" t="s">
        <v>0</v>
      </c>
      <c r="C6" s="16" t="s">
        <v>6</v>
      </c>
      <c r="D6" s="16"/>
      <c r="E6" s="17"/>
      <c r="F6" s="16" t="s">
        <v>7</v>
      </c>
      <c r="G6" s="16"/>
    </row>
    <row r="7" spans="1:7" ht="15">
      <c r="A7" s="2" t="s">
        <v>199</v>
      </c>
      <c r="C7" s="18"/>
      <c r="D7" s="19"/>
      <c r="E7" s="18"/>
      <c r="F7" s="18"/>
      <c r="G7" s="19"/>
    </row>
    <row r="8" spans="1:7" ht="15">
      <c r="A8" s="13"/>
      <c r="B8" t="s">
        <v>200</v>
      </c>
      <c r="C8" s="18"/>
      <c r="D8" s="19"/>
      <c r="E8" s="18"/>
      <c r="F8" s="18"/>
      <c r="G8" s="19"/>
    </row>
    <row r="9" spans="1:7" ht="15">
      <c r="A9" s="13"/>
      <c r="B9" t="s">
        <v>201</v>
      </c>
      <c r="C9" s="18"/>
      <c r="D9" s="19"/>
      <c r="E9" s="18"/>
      <c r="F9" s="18"/>
      <c r="G9" s="19"/>
    </row>
    <row r="10" spans="1:7" ht="15">
      <c r="A10" t="s">
        <v>159</v>
      </c>
      <c r="B10" t="s">
        <v>202</v>
      </c>
      <c r="C10" s="18" t="s">
        <v>14</v>
      </c>
      <c r="D10" s="21">
        <v>1000</v>
      </c>
      <c r="E10" s="18"/>
      <c r="F10" s="18" t="s">
        <v>13</v>
      </c>
      <c r="G10" s="28">
        <f>D10*0.06243</f>
        <v>62.43</v>
      </c>
    </row>
    <row r="11" spans="1:7" ht="15">
      <c r="A11" s="13" t="s">
        <v>204</v>
      </c>
      <c r="B11" t="s">
        <v>203</v>
      </c>
      <c r="C11" s="18" t="s">
        <v>205</v>
      </c>
      <c r="D11" s="21">
        <v>0.001</v>
      </c>
      <c r="E11" s="18"/>
      <c r="F11" s="18" t="s">
        <v>91</v>
      </c>
      <c r="G11" s="28">
        <f>D11/1.4879</f>
        <v>0.0006720881779689495</v>
      </c>
    </row>
    <row r="12" spans="1:7" ht="15">
      <c r="A12" s="13"/>
      <c r="C12" s="18"/>
      <c r="D12" s="19"/>
      <c r="E12" s="18"/>
      <c r="F12" s="18"/>
      <c r="G12" s="19"/>
    </row>
    <row r="13" spans="1:7" ht="15">
      <c r="A13" s="13"/>
      <c r="C13" s="18"/>
      <c r="D13" s="19"/>
      <c r="E13" s="18"/>
      <c r="F13" s="18"/>
      <c r="G13" s="19"/>
    </row>
    <row r="14" spans="1:7" ht="15">
      <c r="A14" s="2" t="s">
        <v>176</v>
      </c>
      <c r="C14" s="17"/>
      <c r="D14" s="17"/>
      <c r="E14" s="17"/>
      <c r="F14" s="17"/>
      <c r="G14" s="17"/>
    </row>
    <row r="15" spans="1:7" ht="15">
      <c r="A15" t="s">
        <v>49</v>
      </c>
      <c r="B15" t="s">
        <v>147</v>
      </c>
      <c r="C15" s="17" t="s">
        <v>51</v>
      </c>
      <c r="D15" s="22">
        <v>3</v>
      </c>
      <c r="E15" s="17"/>
      <c r="F15" s="17" t="s">
        <v>53</v>
      </c>
      <c r="G15" s="29">
        <f>D15/0.3048</f>
        <v>9.84251968503937</v>
      </c>
    </row>
    <row r="16" spans="1:7" ht="15">
      <c r="A16" t="s">
        <v>80</v>
      </c>
      <c r="B16" t="s">
        <v>177</v>
      </c>
      <c r="C16" s="17" t="s">
        <v>51</v>
      </c>
      <c r="D16" s="22">
        <v>3.5</v>
      </c>
      <c r="E16" s="17"/>
      <c r="F16" s="17" t="s">
        <v>53</v>
      </c>
      <c r="G16" s="29">
        <f>D16/0.3048</f>
        <v>11.48293963254593</v>
      </c>
    </row>
    <row r="17" spans="1:7" ht="15">
      <c r="A17" s="2"/>
      <c r="C17" s="17"/>
      <c r="D17" s="17"/>
      <c r="E17" s="17"/>
      <c r="F17" s="17"/>
      <c r="G17" s="17"/>
    </row>
    <row r="18" spans="1:7" ht="15">
      <c r="A18" s="2" t="s">
        <v>178</v>
      </c>
      <c r="C18" s="17"/>
      <c r="D18" s="17"/>
      <c r="E18" s="17"/>
      <c r="F18" s="17"/>
      <c r="G18" s="17"/>
    </row>
    <row r="19" spans="2:7" ht="15">
      <c r="B19" s="14" t="s">
        <v>179</v>
      </c>
      <c r="C19" s="17"/>
      <c r="D19" s="17"/>
      <c r="E19" s="17"/>
      <c r="F19" s="17"/>
      <c r="G19" s="17"/>
    </row>
    <row r="20" spans="2:7" ht="15">
      <c r="B20" s="15" t="s">
        <v>182</v>
      </c>
      <c r="C20" s="17"/>
      <c r="D20" s="17"/>
      <c r="E20" s="17"/>
      <c r="F20" s="17"/>
      <c r="G20" s="17"/>
    </row>
    <row r="21" spans="1:7" ht="15">
      <c r="A21" t="s">
        <v>190</v>
      </c>
      <c r="B21" t="s">
        <v>147</v>
      </c>
      <c r="C21" s="17" t="s">
        <v>51</v>
      </c>
      <c r="D21" s="22">
        <v>2</v>
      </c>
      <c r="E21" s="17"/>
      <c r="F21" s="17" t="s">
        <v>53</v>
      </c>
      <c r="G21" s="29">
        <f>D21/0.3048</f>
        <v>6.561679790026246</v>
      </c>
    </row>
    <row r="22" spans="1:7" ht="15">
      <c r="A22" t="s">
        <v>192</v>
      </c>
      <c r="B22" t="s">
        <v>183</v>
      </c>
      <c r="C22" s="17" t="s">
        <v>51</v>
      </c>
      <c r="D22" s="22"/>
      <c r="E22" s="17"/>
      <c r="F22" s="17" t="s">
        <v>53</v>
      </c>
      <c r="G22" s="29">
        <f>D22/0.3048</f>
        <v>0</v>
      </c>
    </row>
    <row r="23" spans="1:7" ht="15">
      <c r="A23" t="s">
        <v>195</v>
      </c>
      <c r="B23" t="s">
        <v>180</v>
      </c>
      <c r="C23" s="17" t="s">
        <v>51</v>
      </c>
      <c r="D23" s="22"/>
      <c r="E23" s="17"/>
      <c r="F23" s="17" t="s">
        <v>53</v>
      </c>
      <c r="G23" s="29">
        <f>D23/0.3048</f>
        <v>0</v>
      </c>
    </row>
    <row r="24" spans="1:7" ht="15">
      <c r="A24" t="s">
        <v>196</v>
      </c>
      <c r="B24" t="s">
        <v>181</v>
      </c>
      <c r="C24" s="17" t="s">
        <v>51</v>
      </c>
      <c r="D24" s="22"/>
      <c r="E24" s="17"/>
      <c r="F24" s="17" t="s">
        <v>53</v>
      </c>
      <c r="G24" s="29">
        <f>D24/0.3048</f>
        <v>0</v>
      </c>
    </row>
    <row r="25" spans="1:7" ht="15">
      <c r="A25" t="s">
        <v>194</v>
      </c>
      <c r="B25" t="s">
        <v>184</v>
      </c>
      <c r="C25" s="17" t="s">
        <v>51</v>
      </c>
      <c r="D25" s="22"/>
      <c r="E25" s="17"/>
      <c r="F25" s="17" t="s">
        <v>53</v>
      </c>
      <c r="G25" s="29">
        <f>D25/0.3048</f>
        <v>0</v>
      </c>
    </row>
    <row r="26" spans="3:7" ht="15">
      <c r="C26" s="17"/>
      <c r="D26" s="17"/>
      <c r="E26" s="17"/>
      <c r="F26" s="17"/>
      <c r="G26" s="17"/>
    </row>
    <row r="27" spans="2:7" ht="15">
      <c r="B27" s="14" t="s">
        <v>185</v>
      </c>
      <c r="C27" s="17"/>
      <c r="D27" s="17"/>
      <c r="E27" s="17"/>
      <c r="F27" s="17"/>
      <c r="G27" s="17"/>
    </row>
    <row r="28" spans="2:7" ht="15">
      <c r="B28" s="15" t="s">
        <v>182</v>
      </c>
      <c r="C28" s="17"/>
      <c r="D28" s="17"/>
      <c r="E28" s="17"/>
      <c r="F28" s="17"/>
      <c r="G28" s="17"/>
    </row>
    <row r="29" spans="1:7" ht="15">
      <c r="A29" t="s">
        <v>191</v>
      </c>
      <c r="B29" t="s">
        <v>147</v>
      </c>
      <c r="C29" s="17" t="s">
        <v>51</v>
      </c>
      <c r="D29" s="22">
        <v>2</v>
      </c>
      <c r="E29" s="17"/>
      <c r="F29" s="17" t="s">
        <v>53</v>
      </c>
      <c r="G29" s="29">
        <f>D29/0.3048</f>
        <v>6.561679790026246</v>
      </c>
    </row>
    <row r="30" spans="1:7" ht="15">
      <c r="A30" t="s">
        <v>193</v>
      </c>
      <c r="B30" t="s">
        <v>183</v>
      </c>
      <c r="C30" s="17" t="s">
        <v>51</v>
      </c>
      <c r="D30" s="22"/>
      <c r="E30" s="17"/>
      <c r="F30" s="17" t="s">
        <v>53</v>
      </c>
      <c r="G30" s="29">
        <f>D30/0.3048</f>
        <v>0</v>
      </c>
    </row>
    <row r="31" spans="1:7" ht="15">
      <c r="A31" t="s">
        <v>197</v>
      </c>
      <c r="B31" t="s">
        <v>180</v>
      </c>
      <c r="C31" s="17" t="s">
        <v>51</v>
      </c>
      <c r="D31" s="22"/>
      <c r="E31" s="17"/>
      <c r="F31" s="17" t="s">
        <v>53</v>
      </c>
      <c r="G31" s="29">
        <f>D31/0.3048</f>
        <v>0</v>
      </c>
    </row>
    <row r="32" spans="3:7" ht="15">
      <c r="C32" s="17"/>
      <c r="D32" s="17"/>
      <c r="E32" s="17"/>
      <c r="F32" s="17"/>
      <c r="G32" s="17"/>
    </row>
    <row r="33" spans="1:7" ht="15">
      <c r="A33" t="s">
        <v>50</v>
      </c>
      <c r="B33" t="s">
        <v>146</v>
      </c>
      <c r="C33" s="17" t="s">
        <v>69</v>
      </c>
      <c r="D33" s="22">
        <v>1.42</v>
      </c>
      <c r="E33" s="17"/>
      <c r="F33" s="17" t="s">
        <v>69</v>
      </c>
      <c r="G33" s="29">
        <f>D33</f>
        <v>1.42</v>
      </c>
    </row>
    <row r="34" spans="3:7" ht="15">
      <c r="C34" s="17"/>
      <c r="D34" s="17"/>
      <c r="E34" s="17"/>
      <c r="F34" s="17"/>
      <c r="G34" s="17"/>
    </row>
    <row r="35" spans="1:7" ht="15">
      <c r="A35" s="2" t="s">
        <v>186</v>
      </c>
      <c r="C35" s="17"/>
      <c r="D35" s="17"/>
      <c r="E35" s="17"/>
      <c r="F35" s="17"/>
      <c r="G35" s="17"/>
    </row>
    <row r="36" spans="2:7" ht="15">
      <c r="B36" t="s">
        <v>187</v>
      </c>
      <c r="C36" s="17"/>
      <c r="D36" s="22">
        <v>4</v>
      </c>
      <c r="E36" s="17"/>
      <c r="F36" s="17"/>
      <c r="G36" s="29">
        <f>D36</f>
        <v>4</v>
      </c>
    </row>
    <row r="37" spans="1:7" ht="15">
      <c r="A37" t="s">
        <v>29</v>
      </c>
      <c r="B37" t="s">
        <v>188</v>
      </c>
      <c r="C37" s="17" t="s">
        <v>51</v>
      </c>
      <c r="D37" s="22">
        <f>D15/12</f>
        <v>0.25</v>
      </c>
      <c r="E37" s="17"/>
      <c r="F37" s="17" t="s">
        <v>53</v>
      </c>
      <c r="G37" s="29">
        <f>D37/0.3048</f>
        <v>0.8202099737532808</v>
      </c>
    </row>
    <row r="38" spans="2:7" ht="15">
      <c r="B38" t="s">
        <v>189</v>
      </c>
      <c r="C38" s="17" t="s">
        <v>51</v>
      </c>
      <c r="D38" s="22">
        <f>D15/72</f>
        <v>0.041666666666666664</v>
      </c>
      <c r="E38" s="17"/>
      <c r="F38" s="17" t="s">
        <v>53</v>
      </c>
      <c r="G38" s="29">
        <f>D38/0.3048</f>
        <v>0.13670166229221345</v>
      </c>
    </row>
    <row r="39" spans="3:7" ht="15">
      <c r="C39" s="17"/>
      <c r="D39" s="17"/>
      <c r="E39" s="17"/>
      <c r="F39" s="17"/>
      <c r="G39" s="17"/>
    </row>
    <row r="40" spans="3:7" ht="15">
      <c r="C40" s="17"/>
      <c r="D40" s="17"/>
      <c r="E40" s="17"/>
      <c r="F40" s="17"/>
      <c r="G40" s="17"/>
    </row>
    <row r="41" spans="1:7" ht="15">
      <c r="A41" s="1" t="s">
        <v>198</v>
      </c>
      <c r="C41" s="17"/>
      <c r="D41" s="17"/>
      <c r="E41" s="17"/>
      <c r="F41" s="17"/>
      <c r="G41" s="17"/>
    </row>
    <row r="42" spans="1:7" ht="15">
      <c r="A42" t="s">
        <v>94</v>
      </c>
      <c r="B42" t="s">
        <v>206</v>
      </c>
      <c r="C42" s="17"/>
      <c r="D42" s="23">
        <f>D10*D33*D15^2/D11</f>
        <v>12780000</v>
      </c>
      <c r="E42" s="17"/>
      <c r="F42" s="17"/>
      <c r="G42" s="29">
        <f>G10*G33*G15^2/G11</f>
        <v>12778150.74361399</v>
      </c>
    </row>
    <row r="43" spans="1:7" ht="15">
      <c r="A43" t="s">
        <v>96</v>
      </c>
      <c r="B43" t="s">
        <v>97</v>
      </c>
      <c r="C43" s="17"/>
      <c r="D43" s="23">
        <v>1</v>
      </c>
      <c r="E43" s="17"/>
      <c r="F43" s="17"/>
      <c r="G43" s="29">
        <v>32.17</v>
      </c>
    </row>
    <row r="44" spans="1:7" ht="15">
      <c r="A44" t="s">
        <v>215</v>
      </c>
      <c r="B44" t="s">
        <v>207</v>
      </c>
      <c r="C44" s="17"/>
      <c r="D44" s="23">
        <v>0.8</v>
      </c>
      <c r="E44" s="17"/>
      <c r="F44" s="17"/>
      <c r="G44" s="29">
        <v>0.8</v>
      </c>
    </row>
    <row r="45" spans="1:7" ht="15">
      <c r="A45" t="s">
        <v>214</v>
      </c>
      <c r="B45" t="s">
        <v>208</v>
      </c>
      <c r="C45" s="17" t="s">
        <v>66</v>
      </c>
      <c r="D45" s="23">
        <f>D44*D33*D21^3</f>
        <v>9.088</v>
      </c>
      <c r="E45" s="17"/>
      <c r="F45" s="17" t="s">
        <v>70</v>
      </c>
      <c r="G45" s="29">
        <f>G44*G33*G21^3</f>
        <v>320.9396911648882</v>
      </c>
    </row>
    <row r="46" spans="3:7" ht="15">
      <c r="C46" s="17"/>
      <c r="D46" s="17"/>
      <c r="E46" s="17"/>
      <c r="F46" s="17"/>
      <c r="G46" s="17"/>
    </row>
    <row r="47" spans="1:7" ht="15">
      <c r="A47" t="s">
        <v>86</v>
      </c>
      <c r="B47" t="s">
        <v>211</v>
      </c>
      <c r="C47" s="17"/>
      <c r="D47" s="23">
        <v>1.3</v>
      </c>
      <c r="E47" s="17"/>
      <c r="F47" s="17"/>
      <c r="G47" s="29">
        <v>1.3</v>
      </c>
    </row>
    <row r="48" spans="1:7" ht="15">
      <c r="A48" t="s">
        <v>92</v>
      </c>
      <c r="B48" t="s">
        <v>209</v>
      </c>
      <c r="C48" s="17" t="s">
        <v>99</v>
      </c>
      <c r="D48" s="23">
        <f>D47*D10*D33^3*D21^5/D43</f>
        <v>119112.7808</v>
      </c>
      <c r="E48" s="17"/>
      <c r="F48" s="17" t="s">
        <v>210</v>
      </c>
      <c r="G48" s="29">
        <f>G47*G10*G33^3*G21^5/G43</f>
        <v>87867.00520311319</v>
      </c>
    </row>
    <row r="49" spans="3:7" ht="15">
      <c r="C49" s="17"/>
      <c r="D49" s="17"/>
      <c r="E49" s="17"/>
      <c r="F49" s="17" t="s">
        <v>98</v>
      </c>
      <c r="G49" s="29">
        <f>G48/550</f>
        <v>159.7581912783876</v>
      </c>
    </row>
    <row r="50" spans="3:7" ht="15">
      <c r="C50" s="17"/>
      <c r="D50" s="17"/>
      <c r="E50" s="17"/>
      <c r="F50" s="17"/>
      <c r="G50" s="17"/>
    </row>
    <row r="51" spans="1:7" ht="15">
      <c r="A51" t="s">
        <v>86</v>
      </c>
      <c r="B51" t="s">
        <v>212</v>
      </c>
      <c r="C51" s="17"/>
      <c r="D51" s="23">
        <v>1.3</v>
      </c>
      <c r="E51" s="17"/>
      <c r="F51" s="17"/>
      <c r="G51" s="29">
        <v>1.3</v>
      </c>
    </row>
    <row r="52" spans="1:7" ht="15">
      <c r="A52" t="s">
        <v>92</v>
      </c>
      <c r="B52" t="s">
        <v>209</v>
      </c>
      <c r="C52" s="17" t="s">
        <v>99</v>
      </c>
      <c r="D52" s="23">
        <f>D51*D10*D33^3*D29^5/D43</f>
        <v>119112.7808</v>
      </c>
      <c r="E52" s="17"/>
      <c r="F52" s="17" t="s">
        <v>210</v>
      </c>
      <c r="G52" s="29">
        <f>G51*G10*G33^3*G29^5/G43</f>
        <v>87867.00520311319</v>
      </c>
    </row>
    <row r="53" spans="3:7" ht="15">
      <c r="C53" s="17"/>
      <c r="D53" s="17"/>
      <c r="E53" s="17"/>
      <c r="F53" s="17"/>
      <c r="G53" s="17"/>
    </row>
    <row r="54" spans="1:7" ht="15">
      <c r="A54" t="s">
        <v>92</v>
      </c>
      <c r="B54" t="s">
        <v>213</v>
      </c>
      <c r="C54" s="17" t="s">
        <v>99</v>
      </c>
      <c r="D54" s="23">
        <f>D48+D52</f>
        <v>238225.5616</v>
      </c>
      <c r="E54" s="17"/>
      <c r="F54" s="17" t="s">
        <v>210</v>
      </c>
      <c r="G54" s="29">
        <f>G48+G52</f>
        <v>175734.01040622639</v>
      </c>
    </row>
    <row r="55" spans="3:7" ht="15">
      <c r="C55" s="17"/>
      <c r="D55" s="17"/>
      <c r="E55" s="17"/>
      <c r="F55" s="17" t="s">
        <v>98</v>
      </c>
      <c r="G55" s="29">
        <f>G54/550</f>
        <v>319.5163825567752</v>
      </c>
    </row>
    <row r="56" spans="3:7" ht="15">
      <c r="C56" s="17"/>
      <c r="D56" s="17"/>
      <c r="E56" s="17"/>
      <c r="F56" s="17"/>
      <c r="G56" s="17"/>
    </row>
    <row r="57" spans="3:7" ht="15">
      <c r="C57" s="17"/>
      <c r="D57" s="17"/>
      <c r="E57" s="17"/>
      <c r="F57" s="17"/>
      <c r="G57" s="17"/>
    </row>
    <row r="58" spans="2:7" ht="15">
      <c r="B58" t="s">
        <v>216</v>
      </c>
      <c r="C58" s="17"/>
      <c r="D58" s="23">
        <f>D47^(1/3)*D42</f>
        <v>13948001.045520933</v>
      </c>
      <c r="E58" s="17"/>
      <c r="F58" s="17"/>
      <c r="G58" s="29">
        <f>G47^(1/3)*G42</f>
        <v>13945982.780262288</v>
      </c>
    </row>
    <row r="59" spans="2:7" ht="15">
      <c r="B59" t="s">
        <v>217</v>
      </c>
      <c r="C59" s="17"/>
      <c r="D59" s="23" t="str">
        <f>IF(D58&gt;6370,"Turbulent",IF(D58&gt;100,"Transitional","Laminar"))</f>
        <v>Turbulent</v>
      </c>
      <c r="E59" s="17"/>
      <c r="F59" s="17"/>
      <c r="G59" s="29" t="str">
        <f>IF(G58&gt;6370,"Turbulent",IF(G58&gt;100,"Transitional","Laminar"))</f>
        <v>Turbulent</v>
      </c>
    </row>
    <row r="60" spans="3:7" ht="15">
      <c r="C60" s="17"/>
      <c r="D60" s="17"/>
      <c r="E60" s="17"/>
      <c r="F60" s="17"/>
      <c r="G60" s="17"/>
    </row>
    <row r="61" spans="1:7" ht="15">
      <c r="A61" t="s">
        <v>219</v>
      </c>
      <c r="B61" t="s">
        <v>218</v>
      </c>
      <c r="C61" s="17" t="s">
        <v>21</v>
      </c>
      <c r="D61" s="24">
        <f>IF(D59="Turbulent",5.2*D15^1.5*D16^0.6/(D47^(1/3)*D33*D21^2),183^2/(D33*D47^(2/3)*D42)*(D15/D21)^2)</f>
        <v>9.242651950745467</v>
      </c>
      <c r="E61" s="17"/>
      <c r="F61" s="17"/>
      <c r="G61" s="30">
        <f>IF(G59="Turbulent",4.62*G15^1.5*G16^0.6/(G47^(1/3)*G33*G21^2),183^2/(G33*G47^(2/3)*G42)*(G15/G21)^2)</f>
        <v>9.24770004805989</v>
      </c>
    </row>
    <row r="62" spans="3:7" ht="15">
      <c r="C62" s="17"/>
      <c r="D62" s="17"/>
      <c r="E62" s="17"/>
      <c r="F62" s="17"/>
      <c r="G62" s="17"/>
    </row>
    <row r="63" spans="2:7" ht="15">
      <c r="B63" t="s">
        <v>220</v>
      </c>
      <c r="C63" s="17"/>
      <c r="D63" s="25">
        <v>0.99</v>
      </c>
      <c r="E63" s="17"/>
      <c r="F63" s="17"/>
      <c r="G63" s="31">
        <f>D63</f>
        <v>0.99</v>
      </c>
    </row>
    <row r="64" spans="2:7" ht="15">
      <c r="B64" t="s">
        <v>221</v>
      </c>
      <c r="C64" s="17" t="s">
        <v>21</v>
      </c>
      <c r="D64" s="26">
        <f>D61*(LN(1-D63)/LN(0.05))</f>
        <v>14.208207315048835</v>
      </c>
      <c r="E64" s="17"/>
      <c r="F64" s="17"/>
      <c r="G64" s="32">
        <f>G61*(LN(1-G63)/LN(0.05))</f>
        <v>14.215967470204745</v>
      </c>
    </row>
    <row r="65" spans="3:7" ht="15">
      <c r="C65" s="17"/>
      <c r="D65" s="17"/>
      <c r="E65" s="17"/>
      <c r="F65" s="17"/>
      <c r="G65" s="17"/>
    </row>
    <row r="66" spans="2:7" ht="15">
      <c r="B66" t="s">
        <v>83</v>
      </c>
      <c r="C66" s="17" t="s">
        <v>84</v>
      </c>
      <c r="D66" s="23">
        <f>D16*(D15/2)^2*PI()</f>
        <v>24.740042147019622</v>
      </c>
      <c r="E66" s="17"/>
      <c r="F66" s="17" t="s">
        <v>85</v>
      </c>
      <c r="G66" s="29">
        <f>G16*(G15/2)^2*PI()</f>
        <v>873.686343097579</v>
      </c>
    </row>
    <row r="67" spans="2:7" ht="15">
      <c r="B67" t="s">
        <v>222</v>
      </c>
      <c r="C67" s="17"/>
      <c r="D67" s="27">
        <f>D45*D61/D66</f>
        <v>3.39519312170993</v>
      </c>
      <c r="E67" s="17"/>
      <c r="F67" s="17"/>
      <c r="G67" s="33">
        <f>G45*G61/G66</f>
        <v>3.3970474883323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6:G3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7.8515625" style="0" customWidth="1"/>
  </cols>
  <sheetData>
    <row r="6" spans="1:7" ht="15">
      <c r="A6" s="1" t="s">
        <v>0</v>
      </c>
      <c r="C6" s="16" t="s">
        <v>6</v>
      </c>
      <c r="D6" s="16"/>
      <c r="E6" s="17"/>
      <c r="F6" s="16" t="s">
        <v>7</v>
      </c>
      <c r="G6" s="16"/>
    </row>
    <row r="7" spans="1:7" ht="15">
      <c r="A7" s="2" t="s">
        <v>199</v>
      </c>
      <c r="C7" s="18"/>
      <c r="D7" s="19"/>
      <c r="E7" s="18"/>
      <c r="F7" s="18"/>
      <c r="G7" s="19"/>
    </row>
    <row r="8" spans="1:7" ht="15">
      <c r="A8" s="13"/>
      <c r="B8" t="s">
        <v>200</v>
      </c>
      <c r="C8" s="18"/>
      <c r="D8" s="19" t="s">
        <v>239</v>
      </c>
      <c r="E8" s="18"/>
      <c r="F8" s="18"/>
      <c r="G8" s="19"/>
    </row>
    <row r="9" spans="1:7" ht="15">
      <c r="A9" t="s">
        <v>159</v>
      </c>
      <c r="B9" t="s">
        <v>202</v>
      </c>
      <c r="C9" s="18" t="s">
        <v>14</v>
      </c>
      <c r="D9" s="21">
        <v>1000</v>
      </c>
      <c r="E9" s="18"/>
      <c r="F9" s="18" t="s">
        <v>13</v>
      </c>
      <c r="G9" s="28">
        <f>D9*0.06243</f>
        <v>62.43</v>
      </c>
    </row>
    <row r="10" spans="1:7" ht="15">
      <c r="A10" s="13" t="s">
        <v>204</v>
      </c>
      <c r="B10" t="s">
        <v>203</v>
      </c>
      <c r="C10" s="18" t="s">
        <v>205</v>
      </c>
      <c r="D10" s="21">
        <v>100</v>
      </c>
      <c r="E10" s="18"/>
      <c r="F10" s="18" t="s">
        <v>91</v>
      </c>
      <c r="G10" s="28">
        <f>D10/1.4879</f>
        <v>67.20881779689495</v>
      </c>
    </row>
    <row r="11" spans="3:7" ht="15">
      <c r="C11" s="17"/>
      <c r="D11" s="17"/>
      <c r="E11" s="17"/>
      <c r="F11" s="17"/>
      <c r="G11" s="17"/>
    </row>
    <row r="12" spans="3:7" ht="15">
      <c r="C12" s="17"/>
      <c r="D12" s="17"/>
      <c r="E12" s="17"/>
      <c r="F12" s="17"/>
      <c r="G12" s="17"/>
    </row>
    <row r="13" spans="1:7" ht="15">
      <c r="A13" s="2" t="s">
        <v>176</v>
      </c>
      <c r="C13" s="17"/>
      <c r="D13" s="17"/>
      <c r="E13" s="17"/>
      <c r="F13" s="17"/>
      <c r="G13" s="17"/>
    </row>
    <row r="14" spans="1:7" ht="15">
      <c r="A14" t="s">
        <v>49</v>
      </c>
      <c r="B14" t="s">
        <v>147</v>
      </c>
      <c r="C14" s="17" t="s">
        <v>51</v>
      </c>
      <c r="D14" s="22">
        <v>3</v>
      </c>
      <c r="E14" s="17"/>
      <c r="F14" s="17" t="s">
        <v>53</v>
      </c>
      <c r="G14" s="29">
        <f>D14/0.3048</f>
        <v>9.84251968503937</v>
      </c>
    </row>
    <row r="15" spans="1:7" ht="15">
      <c r="A15" t="s">
        <v>80</v>
      </c>
      <c r="B15" t="s">
        <v>177</v>
      </c>
      <c r="C15" s="17" t="s">
        <v>51</v>
      </c>
      <c r="D15" s="22">
        <v>3.5</v>
      </c>
      <c r="E15" s="17"/>
      <c r="F15" s="17" t="s">
        <v>53</v>
      </c>
      <c r="G15" s="17">
        <f>D15/0.3048</f>
        <v>11.48293963254593</v>
      </c>
    </row>
    <row r="16" spans="3:7" ht="15">
      <c r="C16" s="17"/>
      <c r="D16" s="20"/>
      <c r="E16" s="17"/>
      <c r="F16" s="17"/>
      <c r="G16" s="17"/>
    </row>
    <row r="17" spans="1:7" ht="15">
      <c r="A17" s="2" t="s">
        <v>223</v>
      </c>
      <c r="C17" s="18"/>
      <c r="D17" s="19"/>
      <c r="E17" s="18"/>
      <c r="F17" s="18"/>
      <c r="G17" s="19"/>
    </row>
    <row r="18" spans="1:7" ht="15">
      <c r="A18" t="s">
        <v>48</v>
      </c>
      <c r="B18" t="s">
        <v>147</v>
      </c>
      <c r="C18" s="17" t="s">
        <v>51</v>
      </c>
      <c r="D18" s="22">
        <v>2.85</v>
      </c>
      <c r="E18" s="17"/>
      <c r="F18" s="17" t="s">
        <v>53</v>
      </c>
      <c r="G18" s="29">
        <f>D18/0.3048</f>
        <v>9.350393700787402</v>
      </c>
    </row>
    <row r="19" spans="1:7" ht="15">
      <c r="A19" t="s">
        <v>227</v>
      </c>
      <c r="B19" t="s">
        <v>228</v>
      </c>
      <c r="C19" s="18" t="s">
        <v>51</v>
      </c>
      <c r="D19" s="22">
        <v>3.5</v>
      </c>
      <c r="E19" s="17"/>
      <c r="F19" s="17" t="s">
        <v>53</v>
      </c>
      <c r="G19" s="29">
        <f>D19/0.3048</f>
        <v>11.48293963254593</v>
      </c>
    </row>
    <row r="20" spans="1:7" ht="15">
      <c r="A20" t="s">
        <v>12</v>
      </c>
      <c r="B20" t="s">
        <v>229</v>
      </c>
      <c r="C20" s="18" t="s">
        <v>51</v>
      </c>
      <c r="D20" s="22">
        <v>0.5</v>
      </c>
      <c r="E20" s="17"/>
      <c r="F20" s="17" t="s">
        <v>53</v>
      </c>
      <c r="G20" s="29">
        <f>D20/0.3048</f>
        <v>1.6404199475065615</v>
      </c>
    </row>
    <row r="21" spans="1:7" ht="15">
      <c r="A21" t="s">
        <v>230</v>
      </c>
      <c r="B21" t="s">
        <v>231</v>
      </c>
      <c r="C21" s="18" t="s">
        <v>51</v>
      </c>
      <c r="D21" s="22">
        <v>0.285</v>
      </c>
      <c r="E21" s="17"/>
      <c r="F21" s="17" t="s">
        <v>53</v>
      </c>
      <c r="G21" s="29">
        <f>D21/0.3048</f>
        <v>0.93503937007874</v>
      </c>
    </row>
    <row r="22" spans="1:7" ht="15">
      <c r="A22" t="s">
        <v>232</v>
      </c>
      <c r="B22" t="s">
        <v>233</v>
      </c>
      <c r="C22" s="18"/>
      <c r="D22" s="21">
        <v>2</v>
      </c>
      <c r="E22" s="18"/>
      <c r="F22" s="18"/>
      <c r="G22" s="28">
        <f>D22</f>
        <v>2</v>
      </c>
    </row>
    <row r="23" spans="3:7" ht="15">
      <c r="C23" s="18"/>
      <c r="D23" s="19"/>
      <c r="E23" s="18"/>
      <c r="F23" s="18"/>
      <c r="G23" s="19"/>
    </row>
    <row r="24" spans="1:7" ht="15">
      <c r="A24" t="s">
        <v>50</v>
      </c>
      <c r="B24" t="s">
        <v>146</v>
      </c>
      <c r="C24" s="17" t="s">
        <v>69</v>
      </c>
      <c r="D24" s="22">
        <v>0.1</v>
      </c>
      <c r="E24" s="17"/>
      <c r="F24" s="17" t="s">
        <v>69</v>
      </c>
      <c r="G24" s="29">
        <f>D24</f>
        <v>0.1</v>
      </c>
    </row>
    <row r="25" spans="1:7" ht="15">
      <c r="A25" t="s">
        <v>96</v>
      </c>
      <c r="B25" t="s">
        <v>97</v>
      </c>
      <c r="C25" s="17"/>
      <c r="D25" s="23">
        <v>1</v>
      </c>
      <c r="E25" s="17"/>
      <c r="F25" s="17"/>
      <c r="G25" s="29">
        <v>32.17</v>
      </c>
    </row>
    <row r="26" spans="3:7" ht="15">
      <c r="C26" s="17"/>
      <c r="D26" s="20"/>
      <c r="E26" s="17"/>
      <c r="F26" s="17"/>
      <c r="G26" s="17"/>
    </row>
    <row r="27" spans="3:7" ht="15">
      <c r="C27" s="17"/>
      <c r="D27" s="17"/>
      <c r="E27" s="17"/>
      <c r="F27" s="17"/>
      <c r="G27" s="17"/>
    </row>
    <row r="28" spans="3:7" ht="15">
      <c r="C28" s="17"/>
      <c r="D28" s="17"/>
      <c r="E28" s="17"/>
      <c r="F28" s="17"/>
      <c r="G28" s="17"/>
    </row>
    <row r="29" spans="1:7" ht="15">
      <c r="A29" s="1" t="s">
        <v>59</v>
      </c>
      <c r="C29" s="17"/>
      <c r="D29" s="17"/>
      <c r="E29" s="17"/>
      <c r="F29" s="17"/>
      <c r="G29" s="17"/>
    </row>
    <row r="30" spans="1:7" ht="15">
      <c r="A30" t="s">
        <v>226</v>
      </c>
      <c r="B30" t="s">
        <v>224</v>
      </c>
      <c r="C30" s="17" t="s">
        <v>51</v>
      </c>
      <c r="D30" s="23">
        <f>(D14-D18)/2</f>
        <v>0.07499999999999996</v>
      </c>
      <c r="E30" s="17"/>
      <c r="F30" s="17" t="s">
        <v>53</v>
      </c>
      <c r="G30" s="29">
        <f>(G14-G18)/2</f>
        <v>0.24606299212598426</v>
      </c>
    </row>
    <row r="31" spans="2:7" ht="15">
      <c r="B31" t="s">
        <v>225</v>
      </c>
      <c r="C31" s="17"/>
      <c r="D31" s="34">
        <f>D30/D14</f>
        <v>0.024999999999999984</v>
      </c>
      <c r="E31" s="17"/>
      <c r="F31" s="17"/>
      <c r="G31" s="17"/>
    </row>
    <row r="32" spans="3:7" ht="15">
      <c r="C32" s="17"/>
      <c r="D32" s="17"/>
      <c r="E32" s="17"/>
      <c r="F32" s="17"/>
      <c r="G32" s="17"/>
    </row>
    <row r="33" spans="1:7" ht="15">
      <c r="A33" t="s">
        <v>234</v>
      </c>
      <c r="B33" t="s">
        <v>235</v>
      </c>
      <c r="C33" s="17"/>
      <c r="D33" s="23">
        <f>82.8*(D19/D18)*(D30/D18)^-0.38*(D20/D18)^-0.35*(D21/D18)^0.2*D22^0.78</f>
        <v>807.106572568007</v>
      </c>
      <c r="E33" s="17"/>
      <c r="F33" s="17"/>
      <c r="G33" s="29">
        <f>82.8*(G19/G18)*(G30/G18)^-0.38*(G20/G18)^-0.35*(G21/G18)^0.2*G22^0.78</f>
        <v>807.1065725680064</v>
      </c>
    </row>
    <row r="34" spans="1:7" ht="15">
      <c r="A34" t="s">
        <v>92</v>
      </c>
      <c r="B34" t="s">
        <v>209</v>
      </c>
      <c r="C34" s="17" t="s">
        <v>99</v>
      </c>
      <c r="D34" s="23">
        <f>D33*D10*D24^2*D18^3/D25</f>
        <v>18683.81093669837</v>
      </c>
      <c r="E34" s="17"/>
      <c r="F34" s="17" t="s">
        <v>236</v>
      </c>
      <c r="G34" s="29">
        <f>G33*G10*G24^2*G18^3/G25</f>
        <v>13784.650878955454</v>
      </c>
    </row>
    <row r="35" spans="3:7" ht="15">
      <c r="C35" s="17"/>
      <c r="D35" s="17"/>
      <c r="E35" s="17"/>
      <c r="F35" s="17" t="s">
        <v>98</v>
      </c>
      <c r="G35" s="29">
        <f>G34/550</f>
        <v>25.063001598100826</v>
      </c>
    </row>
    <row r="36" spans="3:7" ht="15">
      <c r="C36" s="17"/>
      <c r="D36" s="17"/>
      <c r="E36" s="17"/>
      <c r="F36" s="17"/>
      <c r="G36" s="17"/>
    </row>
    <row r="37" spans="1:7" ht="15">
      <c r="A37" t="s">
        <v>237</v>
      </c>
      <c r="B37" t="s">
        <v>238</v>
      </c>
      <c r="C37" s="17" t="s">
        <v>21</v>
      </c>
      <c r="D37" s="23">
        <f>896000*D33^-1.69/D24</f>
        <v>109.54556907243601</v>
      </c>
      <c r="E37" s="17"/>
      <c r="F37" s="17"/>
      <c r="G37" s="29">
        <f>896000*G33^-1.69/G24</f>
        <v>109.54556907243621</v>
      </c>
    </row>
    <row r="38" spans="3:7" ht="15">
      <c r="C38" s="17"/>
      <c r="D38" s="17"/>
      <c r="E38" s="17"/>
      <c r="F38" s="17"/>
      <c r="G38" s="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6:G5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1.8515625" style="0" customWidth="1"/>
    <col min="4" max="4" width="9.57421875" style="0" bestFit="1" customWidth="1"/>
  </cols>
  <sheetData>
    <row r="6" spans="1:7" ht="15">
      <c r="A6" s="1" t="s">
        <v>0</v>
      </c>
      <c r="C6" s="16" t="s">
        <v>6</v>
      </c>
      <c r="D6" s="16"/>
      <c r="E6" s="17"/>
      <c r="F6" s="16" t="s">
        <v>7</v>
      </c>
      <c r="G6" s="16"/>
    </row>
    <row r="7" spans="1:7" ht="15">
      <c r="A7" s="2" t="s">
        <v>1</v>
      </c>
      <c r="C7" s="17"/>
      <c r="D7" s="17"/>
      <c r="E7" s="17"/>
      <c r="F7" s="17"/>
      <c r="G7" s="17"/>
    </row>
    <row r="8" spans="2:7" ht="15">
      <c r="B8" t="s">
        <v>30</v>
      </c>
      <c r="C8" s="17"/>
      <c r="D8" s="22" t="s">
        <v>27</v>
      </c>
      <c r="E8" s="17"/>
      <c r="F8" s="17"/>
      <c r="G8" s="29" t="str">
        <f>D8</f>
        <v>Spheres</v>
      </c>
    </row>
    <row r="9" spans="1:7" ht="15">
      <c r="A9" t="s">
        <v>11</v>
      </c>
      <c r="B9" t="s">
        <v>10</v>
      </c>
      <c r="C9" s="17" t="s">
        <v>14</v>
      </c>
      <c r="D9" s="37">
        <v>1100</v>
      </c>
      <c r="E9" s="17"/>
      <c r="F9" s="17" t="s">
        <v>13</v>
      </c>
      <c r="G9" s="42">
        <f>D9*2.2*0.3048^3</f>
        <v>68.52676875264001</v>
      </c>
    </row>
    <row r="10" spans="1:7" ht="15">
      <c r="A10" t="s">
        <v>19</v>
      </c>
      <c r="B10" t="s">
        <v>15</v>
      </c>
      <c r="C10" s="17" t="s">
        <v>42</v>
      </c>
      <c r="D10" s="38">
        <v>1</v>
      </c>
      <c r="E10" s="17"/>
      <c r="F10" s="17" t="s">
        <v>16</v>
      </c>
      <c r="G10" s="43">
        <f>D10/25.4</f>
        <v>0.03937007874015748</v>
      </c>
    </row>
    <row r="11" spans="2:7" ht="15">
      <c r="B11" t="s">
        <v>113</v>
      </c>
      <c r="C11" s="17" t="s">
        <v>112</v>
      </c>
      <c r="D11" s="39">
        <v>0.55</v>
      </c>
      <c r="E11" s="17"/>
      <c r="F11" s="17" t="s">
        <v>112</v>
      </c>
      <c r="G11" s="44">
        <f>D11</f>
        <v>0.55</v>
      </c>
    </row>
    <row r="12" spans="1:7" ht="15">
      <c r="A12" s="2" t="s">
        <v>2</v>
      </c>
      <c r="C12" s="17"/>
      <c r="D12" s="35"/>
      <c r="E12" s="17"/>
      <c r="F12" s="17"/>
      <c r="G12" s="35"/>
    </row>
    <row r="13" spans="1:7" ht="15">
      <c r="A13" t="s">
        <v>12</v>
      </c>
      <c r="B13" t="s">
        <v>10</v>
      </c>
      <c r="C13" s="17" t="s">
        <v>14</v>
      </c>
      <c r="D13" s="37">
        <v>1000</v>
      </c>
      <c r="E13" s="17"/>
      <c r="F13" s="17" t="s">
        <v>13</v>
      </c>
      <c r="G13" s="42">
        <f>D13*2.2*0.3048^3</f>
        <v>62.29706250240001</v>
      </c>
    </row>
    <row r="14" spans="1:7" ht="15">
      <c r="A14" t="s">
        <v>39</v>
      </c>
      <c r="B14" t="s">
        <v>40</v>
      </c>
      <c r="C14" s="17" t="s">
        <v>37</v>
      </c>
      <c r="D14" s="40">
        <v>0.001</v>
      </c>
      <c r="E14" s="17"/>
      <c r="F14" s="17" t="s">
        <v>38</v>
      </c>
      <c r="G14" s="32">
        <v>1</v>
      </c>
    </row>
    <row r="15" spans="1:7" ht="15">
      <c r="A15" t="s">
        <v>17</v>
      </c>
      <c r="B15" t="s">
        <v>18</v>
      </c>
      <c r="C15" s="17" t="s">
        <v>41</v>
      </c>
      <c r="D15" s="38">
        <f>D14/D13*1000000</f>
        <v>1</v>
      </c>
      <c r="E15" s="17"/>
      <c r="F15" s="17" t="s">
        <v>41</v>
      </c>
      <c r="G15" s="32">
        <f>G14/D13*1000</f>
        <v>1</v>
      </c>
    </row>
    <row r="16" spans="3:7" ht="15">
      <c r="C16" s="17"/>
      <c r="D16" s="35"/>
      <c r="E16" s="17"/>
      <c r="F16" s="17"/>
      <c r="G16" s="35"/>
    </row>
    <row r="17" spans="3:7" ht="15">
      <c r="C17" s="17"/>
      <c r="D17" s="35"/>
      <c r="E17" s="17"/>
      <c r="F17" s="17"/>
      <c r="G17" s="35"/>
    </row>
    <row r="18" spans="1:7" ht="15">
      <c r="A18" s="2" t="s">
        <v>3</v>
      </c>
      <c r="C18" s="17"/>
      <c r="D18" s="35"/>
      <c r="E18" s="17"/>
      <c r="F18" s="17"/>
      <c r="G18" s="35"/>
    </row>
    <row r="19" spans="1:7" ht="15">
      <c r="A19" t="s">
        <v>5</v>
      </c>
      <c r="B19" t="s">
        <v>4</v>
      </c>
      <c r="C19" s="17" t="s">
        <v>8</v>
      </c>
      <c r="D19" s="41">
        <v>9.8</v>
      </c>
      <c r="E19" s="17"/>
      <c r="F19" s="17" t="s">
        <v>9</v>
      </c>
      <c r="G19" s="42">
        <v>32.17</v>
      </c>
    </row>
    <row r="20" spans="3:7" ht="15">
      <c r="C20" s="17"/>
      <c r="D20" s="35"/>
      <c r="E20" s="17"/>
      <c r="F20" s="17"/>
      <c r="G20" s="35"/>
    </row>
    <row r="21" spans="3:7" ht="15">
      <c r="C21" s="17"/>
      <c r="D21" s="35"/>
      <c r="E21" s="17"/>
      <c r="F21" s="17"/>
      <c r="G21" s="35"/>
    </row>
    <row r="22" spans="3:7" ht="15">
      <c r="C22" s="17"/>
      <c r="D22" s="35"/>
      <c r="E22" s="17"/>
      <c r="F22" s="17"/>
      <c r="G22" s="35"/>
    </row>
    <row r="23" spans="3:7" ht="15">
      <c r="C23" s="17"/>
      <c r="D23" s="35"/>
      <c r="E23" s="17"/>
      <c r="F23" s="17"/>
      <c r="G23" s="35"/>
    </row>
    <row r="24" spans="1:7" ht="15">
      <c r="A24" s="1" t="s">
        <v>20</v>
      </c>
      <c r="C24" s="17"/>
      <c r="D24" s="35"/>
      <c r="E24" s="17"/>
      <c r="F24" s="17"/>
      <c r="G24" s="35"/>
    </row>
    <row r="25" spans="1:7" ht="15">
      <c r="A25" t="s">
        <v>21</v>
      </c>
      <c r="B25" t="s">
        <v>22</v>
      </c>
      <c r="C25" s="17"/>
      <c r="D25" s="41">
        <f>D9/D13</f>
        <v>1.1</v>
      </c>
      <c r="E25" s="17"/>
      <c r="F25" s="17"/>
      <c r="G25" s="42">
        <f>G9/G13</f>
        <v>1.0999999999999999</v>
      </c>
    </row>
    <row r="26" spans="1:7" ht="15">
      <c r="A26" t="s">
        <v>28</v>
      </c>
      <c r="B26" t="s">
        <v>31</v>
      </c>
      <c r="C26" s="17"/>
      <c r="D26" s="41">
        <f>VLOOKUP($D$8,coefficients,2,FALSE)</f>
        <v>0.794</v>
      </c>
      <c r="E26" s="17"/>
      <c r="F26" s="17"/>
      <c r="G26" s="42">
        <f>VLOOKUP($D$8,coefficients,2,FALSE)</f>
        <v>0.794</v>
      </c>
    </row>
    <row r="27" spans="1:7" ht="15">
      <c r="A27" t="s">
        <v>29</v>
      </c>
      <c r="B27" t="s">
        <v>32</v>
      </c>
      <c r="C27" s="17"/>
      <c r="D27" s="41">
        <f>VLOOKUP($D$8,coefficients,3,FALSE)</f>
        <v>4.606</v>
      </c>
      <c r="E27" s="17"/>
      <c r="F27" s="17"/>
      <c r="G27" s="42">
        <f>VLOOKUP($D$8,coefficients,3,FALSE)</f>
        <v>4.606</v>
      </c>
    </row>
    <row r="28" spans="1:7" ht="15">
      <c r="A28" t="s">
        <v>35</v>
      </c>
      <c r="B28" t="s">
        <v>36</v>
      </c>
      <c r="C28" s="17"/>
      <c r="D28" s="41">
        <f>D10/(4*D15)*((D25-1)*D19*1000*D10)^0.5</f>
        <v>7.826237921249268</v>
      </c>
      <c r="E28" s="17"/>
      <c r="F28" s="17"/>
      <c r="G28" s="42">
        <f>G10/12/(4*G15/(25.4*12)^2)*((G25-1)*G19*G10/12)^0.5</f>
        <v>7.82840021971283</v>
      </c>
    </row>
    <row r="29" spans="1:7" ht="15">
      <c r="A29" t="s">
        <v>34</v>
      </c>
      <c r="B29" t="s">
        <v>33</v>
      </c>
      <c r="C29" s="17"/>
      <c r="D29" s="41">
        <f>(D26+D27/D28)^(-1)</f>
        <v>0.7233099923751742</v>
      </c>
      <c r="E29" s="17"/>
      <c r="F29" s="17"/>
      <c r="G29" s="42">
        <f>(G26+G27/G28)^(-1)</f>
        <v>0.7233950500494972</v>
      </c>
    </row>
    <row r="30" spans="2:7" ht="15">
      <c r="B30" t="s">
        <v>107</v>
      </c>
      <c r="C30" s="17"/>
      <c r="D30" s="41">
        <f>D29*((D25-1)*D19*100*D10/10)^0.5</f>
        <v>2.2643184364580433</v>
      </c>
      <c r="E30" s="17"/>
      <c r="F30" s="17"/>
      <c r="G30" s="42">
        <f>G29*((G25-1)*G19*G10/12)^0.5*60</f>
        <v>4.459075565942252</v>
      </c>
    </row>
    <row r="31" spans="2:7" ht="15">
      <c r="B31" t="s">
        <v>106</v>
      </c>
      <c r="C31" s="17"/>
      <c r="D31" s="41">
        <f>VLOOKUP(D11*100,CorrectionFactor,2)</f>
        <v>1.85</v>
      </c>
      <c r="E31" s="17"/>
      <c r="F31" s="17"/>
      <c r="G31" s="42">
        <f>VLOOKUP(G11*100,CorrectionFactor,2)</f>
        <v>1.85</v>
      </c>
    </row>
    <row r="32" spans="1:7" ht="15">
      <c r="A32" t="s">
        <v>43</v>
      </c>
      <c r="B32" t="s">
        <v>44</v>
      </c>
      <c r="C32" s="17" t="s">
        <v>45</v>
      </c>
      <c r="D32" s="41">
        <f>D30*D31</f>
        <v>4.18898910744738</v>
      </c>
      <c r="E32" s="17"/>
      <c r="F32" s="17" t="s">
        <v>46</v>
      </c>
      <c r="G32" s="42">
        <f>G30*G31</f>
        <v>8.249289796993166</v>
      </c>
    </row>
    <row r="39" ht="15">
      <c r="A39" s="1" t="s">
        <v>23</v>
      </c>
    </row>
    <row r="40" spans="1:4" ht="15">
      <c r="A40" s="2" t="s">
        <v>108</v>
      </c>
      <c r="C40" s="3" t="s">
        <v>28</v>
      </c>
      <c r="D40" s="3" t="s">
        <v>29</v>
      </c>
    </row>
    <row r="41" spans="2:4" ht="15">
      <c r="B41" t="s">
        <v>24</v>
      </c>
      <c r="C41">
        <v>0.995</v>
      </c>
      <c r="D41">
        <v>5.211</v>
      </c>
    </row>
    <row r="42" spans="2:4" ht="15">
      <c r="B42" t="s">
        <v>25</v>
      </c>
      <c r="C42">
        <v>0.954</v>
      </c>
      <c r="D42">
        <v>5.121</v>
      </c>
    </row>
    <row r="43" spans="2:4" ht="15">
      <c r="B43" t="s">
        <v>26</v>
      </c>
      <c r="C43">
        <v>0.89</v>
      </c>
      <c r="D43">
        <v>4.974</v>
      </c>
    </row>
    <row r="44" spans="2:4" ht="15">
      <c r="B44" t="s">
        <v>27</v>
      </c>
      <c r="C44">
        <v>0.794</v>
      </c>
      <c r="D44">
        <v>4.606</v>
      </c>
    </row>
    <row r="46" spans="1:4" ht="15">
      <c r="A46" s="2" t="s">
        <v>109</v>
      </c>
      <c r="C46" s="3" t="s">
        <v>110</v>
      </c>
      <c r="D46" s="3" t="s">
        <v>111</v>
      </c>
    </row>
    <row r="47" spans="3:4" ht="15">
      <c r="C47">
        <v>0</v>
      </c>
      <c r="D47">
        <v>0.75</v>
      </c>
    </row>
    <row r="48" spans="3:4" ht="15">
      <c r="C48">
        <v>2</v>
      </c>
      <c r="D48">
        <v>0.8</v>
      </c>
    </row>
    <row r="49" spans="3:4" ht="15">
      <c r="C49">
        <v>5</v>
      </c>
      <c r="D49">
        <v>0.84</v>
      </c>
    </row>
    <row r="50" spans="3:4" ht="15">
      <c r="C50">
        <v>10</v>
      </c>
      <c r="D50">
        <v>0.91</v>
      </c>
    </row>
    <row r="51" spans="3:4" ht="15">
      <c r="C51">
        <v>15</v>
      </c>
      <c r="D51">
        <v>1</v>
      </c>
    </row>
    <row r="52" spans="3:4" ht="15">
      <c r="C52">
        <v>20</v>
      </c>
      <c r="D52">
        <v>1.1</v>
      </c>
    </row>
    <row r="53" spans="3:4" ht="15">
      <c r="C53">
        <v>25</v>
      </c>
      <c r="D53">
        <v>1.2</v>
      </c>
    </row>
    <row r="54" spans="3:4" ht="15">
      <c r="C54">
        <v>30</v>
      </c>
      <c r="D54">
        <v>1.3</v>
      </c>
    </row>
    <row r="55" spans="3:4" ht="15">
      <c r="C55">
        <v>35</v>
      </c>
      <c r="D55">
        <v>1.42</v>
      </c>
    </row>
    <row r="56" spans="3:4" ht="15">
      <c r="C56">
        <v>40</v>
      </c>
      <c r="D56">
        <v>1.55</v>
      </c>
    </row>
    <row r="57" spans="3:4" ht="15">
      <c r="C57">
        <v>45</v>
      </c>
      <c r="D57">
        <v>1.7</v>
      </c>
    </row>
    <row r="58" spans="3:4" ht="15">
      <c r="C58">
        <v>50</v>
      </c>
      <c r="D58">
        <v>1.85</v>
      </c>
    </row>
  </sheetData>
  <sheetProtection/>
  <dataValidations count="1">
    <dataValidation type="list" allowBlank="1" showInputMessage="1" showErrorMessage="1" sqref="D8">
      <formula1>solids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6:I7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9.00390625" style="0" customWidth="1"/>
    <col min="4" max="4" width="13.28125" style="0" bestFit="1" customWidth="1"/>
    <col min="7" max="7" width="9.57421875" style="0" bestFit="1" customWidth="1"/>
  </cols>
  <sheetData>
    <row r="6" spans="1:7" ht="15">
      <c r="A6" s="1" t="s">
        <v>0</v>
      </c>
      <c r="C6" s="16" t="s">
        <v>6</v>
      </c>
      <c r="D6" s="16"/>
      <c r="E6" s="17"/>
      <c r="F6" s="16" t="s">
        <v>7</v>
      </c>
      <c r="G6" s="16"/>
    </row>
    <row r="7" spans="1:7" ht="15">
      <c r="A7" s="2" t="s">
        <v>114</v>
      </c>
      <c r="C7" s="16"/>
      <c r="D7" s="16"/>
      <c r="E7" s="17"/>
      <c r="F7" s="16"/>
      <c r="G7" s="16"/>
    </row>
    <row r="8" spans="1:7" ht="15">
      <c r="A8" t="s">
        <v>49</v>
      </c>
      <c r="B8" t="s">
        <v>58</v>
      </c>
      <c r="C8" s="17" t="s">
        <v>51</v>
      </c>
      <c r="D8" s="49">
        <v>1.3</v>
      </c>
      <c r="E8" s="17"/>
      <c r="F8" s="17" t="s">
        <v>53</v>
      </c>
      <c r="G8" s="42">
        <f>D8/0.3048</f>
        <v>4.2650918635170605</v>
      </c>
    </row>
    <row r="9" spans="1:7" ht="15">
      <c r="A9" t="s">
        <v>48</v>
      </c>
      <c r="B9" t="s">
        <v>67</v>
      </c>
      <c r="C9" s="17" t="s">
        <v>51</v>
      </c>
      <c r="D9" s="49">
        <v>0.52</v>
      </c>
      <c r="E9" s="17"/>
      <c r="F9" s="17" t="s">
        <v>53</v>
      </c>
      <c r="G9" s="42">
        <f>D9/0.3048</f>
        <v>1.7060367454068242</v>
      </c>
    </row>
    <row r="10" spans="2:7" ht="15">
      <c r="B10" t="s">
        <v>68</v>
      </c>
      <c r="C10" s="17" t="s">
        <v>54</v>
      </c>
      <c r="D10" s="37">
        <v>42</v>
      </c>
      <c r="E10" s="17"/>
      <c r="F10" s="17" t="s">
        <v>54</v>
      </c>
      <c r="G10" s="30">
        <f>D10</f>
        <v>42</v>
      </c>
    </row>
    <row r="11" spans="1:7" ht="15">
      <c r="A11" t="s">
        <v>86</v>
      </c>
      <c r="B11" t="s">
        <v>87</v>
      </c>
      <c r="C11" s="17"/>
      <c r="D11" s="38">
        <v>5</v>
      </c>
      <c r="E11" s="17"/>
      <c r="F11" s="17"/>
      <c r="G11" s="32">
        <v>5</v>
      </c>
    </row>
    <row r="12" spans="1:7" ht="15">
      <c r="A12" s="1"/>
      <c r="C12" s="16"/>
      <c r="D12" s="16"/>
      <c r="E12" s="17"/>
      <c r="F12" s="16"/>
      <c r="G12" s="16"/>
    </row>
    <row r="13" spans="1:7" ht="15">
      <c r="A13" s="2" t="s">
        <v>2</v>
      </c>
      <c r="C13" s="16"/>
      <c r="D13" s="16"/>
      <c r="E13" s="17"/>
      <c r="F13" s="16"/>
      <c r="G13" s="16"/>
    </row>
    <row r="14" spans="1:7" ht="15">
      <c r="A14" t="s">
        <v>80</v>
      </c>
      <c r="B14" t="s">
        <v>81</v>
      </c>
      <c r="C14" s="17" t="s">
        <v>51</v>
      </c>
      <c r="D14" s="49">
        <v>3.77</v>
      </c>
      <c r="E14" s="17"/>
      <c r="F14" s="17" t="s">
        <v>53</v>
      </c>
      <c r="G14" s="42">
        <f>D14/0.3048</f>
        <v>12.368766404199475</v>
      </c>
    </row>
    <row r="15" spans="1:7" ht="15">
      <c r="A15" t="s">
        <v>88</v>
      </c>
      <c r="B15" t="s">
        <v>52</v>
      </c>
      <c r="C15" s="17" t="s">
        <v>14</v>
      </c>
      <c r="D15" s="37">
        <v>1000</v>
      </c>
      <c r="E15" s="17"/>
      <c r="F15" s="17" t="s">
        <v>13</v>
      </c>
      <c r="G15" s="32">
        <f>2.2*0.3048^3*D15</f>
        <v>62.29706250240002</v>
      </c>
    </row>
    <row r="16" spans="1:7" ht="15">
      <c r="A16" t="s">
        <v>89</v>
      </c>
      <c r="B16" t="s">
        <v>90</v>
      </c>
      <c r="C16" s="17" t="s">
        <v>37</v>
      </c>
      <c r="D16" s="40">
        <v>0.001</v>
      </c>
      <c r="E16" s="17"/>
      <c r="F16" s="17" t="s">
        <v>91</v>
      </c>
      <c r="G16" s="47">
        <f>0.67*D16</f>
        <v>0.00067</v>
      </c>
    </row>
    <row r="17" spans="3:7" ht="15">
      <c r="C17" s="17"/>
      <c r="D17" s="17"/>
      <c r="E17" s="17"/>
      <c r="F17" s="17"/>
      <c r="G17" s="17"/>
    </row>
    <row r="18" spans="1:7" ht="15">
      <c r="A18" s="2" t="s">
        <v>115</v>
      </c>
      <c r="C18" s="17"/>
      <c r="D18" s="17"/>
      <c r="E18" s="17"/>
      <c r="F18" s="17"/>
      <c r="G18" s="17"/>
    </row>
    <row r="19" spans="2:7" ht="15">
      <c r="B19" t="s">
        <v>55</v>
      </c>
      <c r="C19" s="17" t="s">
        <v>57</v>
      </c>
      <c r="D19" s="37">
        <f>0.00394*3600</f>
        <v>14.184</v>
      </c>
      <c r="E19" s="17"/>
      <c r="F19" s="17" t="s">
        <v>56</v>
      </c>
      <c r="G19" s="30">
        <f>D19/60/(0.3048^3)</f>
        <v>8.348387212959901</v>
      </c>
    </row>
    <row r="20" spans="3:7" ht="15">
      <c r="C20" s="17"/>
      <c r="D20" s="17"/>
      <c r="E20" s="17"/>
      <c r="F20" s="17"/>
      <c r="G20" s="17"/>
    </row>
    <row r="21" spans="1:7" ht="15">
      <c r="A21" s="2" t="s">
        <v>3</v>
      </c>
      <c r="C21" s="17"/>
      <c r="D21" s="36"/>
      <c r="E21" s="17"/>
      <c r="F21" s="17"/>
      <c r="G21" s="45"/>
    </row>
    <row r="22" spans="1:7" ht="15">
      <c r="A22" t="s">
        <v>5</v>
      </c>
      <c r="B22" t="s">
        <v>71</v>
      </c>
      <c r="C22" s="17" t="s">
        <v>8</v>
      </c>
      <c r="D22" s="41">
        <v>9.81</v>
      </c>
      <c r="E22" s="17"/>
      <c r="F22" s="17" t="s">
        <v>9</v>
      </c>
      <c r="G22" s="42">
        <v>32.17</v>
      </c>
    </row>
    <row r="23" spans="1:7" ht="15">
      <c r="A23" t="s">
        <v>96</v>
      </c>
      <c r="B23" t="s">
        <v>97</v>
      </c>
      <c r="C23" s="17" t="s">
        <v>8</v>
      </c>
      <c r="D23" s="41">
        <v>1</v>
      </c>
      <c r="E23" s="17"/>
      <c r="F23" s="17" t="s">
        <v>9</v>
      </c>
      <c r="G23" s="42">
        <v>32.17</v>
      </c>
    </row>
    <row r="24" spans="3:7" ht="15">
      <c r="C24" s="17"/>
      <c r="D24" s="36"/>
      <c r="E24" s="17"/>
      <c r="F24" s="17"/>
      <c r="G24" s="45"/>
    </row>
    <row r="25" spans="3:7" ht="15">
      <c r="C25" s="17"/>
      <c r="D25" s="17"/>
      <c r="E25" s="17"/>
      <c r="F25" s="17"/>
      <c r="G25" s="17"/>
    </row>
    <row r="26" spans="1:7" ht="15">
      <c r="A26" s="1" t="s">
        <v>59</v>
      </c>
      <c r="C26" s="17"/>
      <c r="D26" s="17"/>
      <c r="E26" s="17"/>
      <c r="F26" s="17"/>
      <c r="G26" s="17"/>
    </row>
    <row r="27" spans="1:7" ht="15">
      <c r="A27" t="s">
        <v>28</v>
      </c>
      <c r="B27" t="s">
        <v>63</v>
      </c>
      <c r="C27" s="17" t="s">
        <v>64</v>
      </c>
      <c r="D27" s="41">
        <f>PI()*(D8/2)^2</f>
        <v>1.3273228961416876</v>
      </c>
      <c r="E27" s="17"/>
      <c r="F27" s="17" t="s">
        <v>65</v>
      </c>
      <c r="G27" s="42">
        <f>PI()*(G8/2)^2</f>
        <v>14.287184748116829</v>
      </c>
    </row>
    <row r="28" spans="1:7" ht="15">
      <c r="A28" t="s">
        <v>82</v>
      </c>
      <c r="B28" t="s">
        <v>83</v>
      </c>
      <c r="C28" s="17" t="s">
        <v>84</v>
      </c>
      <c r="D28" s="41">
        <f>D27*D14</f>
        <v>5.004007318454162</v>
      </c>
      <c r="E28" s="17"/>
      <c r="F28" s="17" t="s">
        <v>85</v>
      </c>
      <c r="G28" s="32">
        <f>G27*G14</f>
        <v>176.71485072309858</v>
      </c>
    </row>
    <row r="29" spans="1:7" ht="15">
      <c r="A29" t="s">
        <v>17</v>
      </c>
      <c r="B29" t="s">
        <v>60</v>
      </c>
      <c r="C29" s="17" t="s">
        <v>61</v>
      </c>
      <c r="D29" s="50">
        <f>D19/3600/D27</f>
        <v>0.0029683809504476573</v>
      </c>
      <c r="E29" s="17"/>
      <c r="F29" s="17" t="s">
        <v>62</v>
      </c>
      <c r="G29" s="43">
        <f>G19/60/G27</f>
        <v>0.009738782645825644</v>
      </c>
    </row>
    <row r="30" spans="3:7" ht="15">
      <c r="C30" s="17"/>
      <c r="D30" s="35"/>
      <c r="E30" s="17"/>
      <c r="F30" s="17"/>
      <c r="G30" s="35"/>
    </row>
    <row r="31" spans="1:7" ht="15">
      <c r="A31" t="s">
        <v>74</v>
      </c>
      <c r="B31" t="s">
        <v>55</v>
      </c>
      <c r="C31" s="17" t="s">
        <v>66</v>
      </c>
      <c r="D31" s="50">
        <f>D19/3600</f>
        <v>0.00394</v>
      </c>
      <c r="E31" s="17"/>
      <c r="F31" s="17" t="s">
        <v>70</v>
      </c>
      <c r="G31" s="42">
        <f>G19/60</f>
        <v>0.139139786882665</v>
      </c>
    </row>
    <row r="32" spans="1:7" ht="15">
      <c r="A32" t="s">
        <v>50</v>
      </c>
      <c r="B32" t="s">
        <v>68</v>
      </c>
      <c r="C32" s="17" t="s">
        <v>69</v>
      </c>
      <c r="D32" s="41">
        <f>D10/60</f>
        <v>0.7</v>
      </c>
      <c r="E32" s="17"/>
      <c r="F32" s="17" t="s">
        <v>69</v>
      </c>
      <c r="G32" s="42">
        <f>G10/60</f>
        <v>0.7</v>
      </c>
    </row>
    <row r="33" spans="3:7" ht="15">
      <c r="C33" s="17"/>
      <c r="D33" s="17"/>
      <c r="E33" s="17"/>
      <c r="F33" s="17"/>
      <c r="G33" s="35"/>
    </row>
    <row r="34" spans="1:7" ht="15">
      <c r="A34" t="s">
        <v>73</v>
      </c>
      <c r="B34" t="s">
        <v>72</v>
      </c>
      <c r="C34" s="17"/>
      <c r="D34" s="50">
        <f>D31/(D32*D9^3)</f>
        <v>0.040030236036153195</v>
      </c>
      <c r="E34" s="17"/>
      <c r="F34" s="17"/>
      <c r="G34" s="43">
        <f>G31/(G32*G9^3)</f>
        <v>0.04003023603615319</v>
      </c>
    </row>
    <row r="35" spans="1:7" ht="15">
      <c r="A35" t="s">
        <v>76</v>
      </c>
      <c r="B35" t="s">
        <v>75</v>
      </c>
      <c r="C35" s="17"/>
      <c r="D35" s="41">
        <f>D32^2*D9/D22</f>
        <v>0.025973496432212025</v>
      </c>
      <c r="E35" s="17"/>
      <c r="F35" s="17"/>
      <c r="G35" s="42">
        <f>G32^2*G9/G22</f>
        <v>0.025985638957082488</v>
      </c>
    </row>
    <row r="36" spans="3:7" ht="15">
      <c r="C36" s="17"/>
      <c r="D36" s="35"/>
      <c r="E36" s="17"/>
      <c r="F36" s="17"/>
      <c r="G36" s="35"/>
    </row>
    <row r="37" spans="1:7" ht="15">
      <c r="A37" t="s">
        <v>47</v>
      </c>
      <c r="B37" t="s">
        <v>77</v>
      </c>
      <c r="C37" s="17"/>
      <c r="D37" s="41">
        <f>D9/D8</f>
        <v>0.4</v>
      </c>
      <c r="E37" s="17"/>
      <c r="F37" s="17"/>
      <c r="G37" s="42">
        <f>G9/G8</f>
        <v>0.39999999999999997</v>
      </c>
    </row>
    <row r="38" spans="3:7" ht="15">
      <c r="C38" s="17"/>
      <c r="D38" s="17"/>
      <c r="E38" s="17"/>
      <c r="F38" s="17"/>
      <c r="G38" s="17"/>
    </row>
    <row r="39" spans="3:7" ht="15">
      <c r="C39" s="17"/>
      <c r="D39" s="17"/>
      <c r="E39" s="17"/>
      <c r="F39" s="17"/>
      <c r="G39" s="17"/>
    </row>
    <row r="40" spans="3:7" ht="15">
      <c r="C40" s="17"/>
      <c r="D40" s="23" t="str">
        <f>IF(D35&lt;0.04,"No discernable action","")</f>
        <v>No discernable action</v>
      </c>
      <c r="E40" s="17"/>
      <c r="F40" s="17"/>
      <c r="G40" s="29" t="str">
        <f>IF(G35&lt;0.04,"No discernable action","")</f>
        <v>No discernable action</v>
      </c>
    </row>
    <row r="41" spans="2:7" ht="15">
      <c r="B41" t="s">
        <v>116</v>
      </c>
      <c r="C41" s="17"/>
      <c r="D41" s="23" t="str">
        <f>IF(D34&gt;30*D35*D37^3.5,"Flooding","")</f>
        <v>Flooding</v>
      </c>
      <c r="E41" s="17"/>
      <c r="F41" s="17"/>
      <c r="G41" s="29" t="str">
        <f>IF(G34&gt;30*G35*G37^3.5,"Flooding","")</f>
        <v>Flooding</v>
      </c>
    </row>
    <row r="42" spans="3:7" ht="15">
      <c r="C42" s="17"/>
      <c r="D42" s="23">
        <f>IF(AND(D41&lt;&gt;"Flooding",D34&gt;0.025*D37^-0.5),"Large cavities","")</f>
      </c>
      <c r="E42" s="17"/>
      <c r="F42" s="17"/>
      <c r="G42" s="29">
        <f>IF(AND(G41&lt;&gt;"Flooding",G34&gt;0.025*G37^-0.5),"Large cavities","")</f>
      </c>
    </row>
    <row r="43" spans="3:7" ht="15">
      <c r="C43" s="17"/>
      <c r="D43" s="23">
        <f>IF(D34&lt;13*D35^2*D37^5,"Recirculating","")</f>
      </c>
      <c r="E43" s="17"/>
      <c r="F43" s="17"/>
      <c r="G43" s="29">
        <f>IF(G34&lt;13*G35^2*G37^5,"Recirculating","")</f>
      </c>
    </row>
    <row r="44" spans="2:7" ht="15">
      <c r="B44" t="s">
        <v>102</v>
      </c>
      <c r="C44" s="17"/>
      <c r="D44" s="41">
        <f>0.025*D37^-0.5</f>
        <v>0.03952847075210474</v>
      </c>
      <c r="E44" s="17"/>
      <c r="F44" s="17"/>
      <c r="G44" s="42">
        <f>0.025*G37^-0.5</f>
        <v>0.03952847075210474</v>
      </c>
    </row>
    <row r="45" spans="2:7" ht="15">
      <c r="B45" t="s">
        <v>103</v>
      </c>
      <c r="C45" s="17"/>
      <c r="D45" s="41">
        <f>0.18*D44^-0.2*D35^-0.25</f>
        <v>0.8555746305806847</v>
      </c>
      <c r="E45" s="17"/>
      <c r="F45" s="17"/>
      <c r="G45" s="42">
        <f>0.18*G44^-0.2*G35^-0.25</f>
        <v>0.855474665200066</v>
      </c>
    </row>
    <row r="46" spans="1:7" ht="15">
      <c r="A46" t="s">
        <v>78</v>
      </c>
      <c r="B46" t="s">
        <v>79</v>
      </c>
      <c r="C46" s="17"/>
      <c r="D46" s="41">
        <f>IF(OR(D41="Flooding",D42="Large cavities"),0.18*D34^-0.2*D35^-0.25,1-(D34/D44)*(1-D45))</f>
        <v>0.8534189279855873</v>
      </c>
      <c r="E46" s="17"/>
      <c r="F46" s="17"/>
      <c r="G46" s="42">
        <f>IF(OR(G41="Flooding",G42="Large cavities"),0.18*G34^-0.2*G35^-0.25,1-(G34/G44)*(1-G45))</f>
        <v>0.8533192144773626</v>
      </c>
    </row>
    <row r="47" spans="1:7" ht="15">
      <c r="A47" t="s">
        <v>94</v>
      </c>
      <c r="B47" t="s">
        <v>95</v>
      </c>
      <c r="C47" s="17"/>
      <c r="D47" s="35"/>
      <c r="E47" s="17"/>
      <c r="F47" s="17"/>
      <c r="G47" s="35"/>
    </row>
    <row r="48" spans="1:9" ht="15">
      <c r="A48" t="s">
        <v>92</v>
      </c>
      <c r="B48" t="s">
        <v>93</v>
      </c>
      <c r="C48" s="17" t="s">
        <v>99</v>
      </c>
      <c r="D48" s="24">
        <f>D11*D15*D32^3*D9^5/D23</f>
        <v>65.204991488</v>
      </c>
      <c r="E48" s="17"/>
      <c r="F48" s="17" t="s">
        <v>98</v>
      </c>
      <c r="G48" s="48">
        <f>G11*G15*G32^3*G9^5/G23/550</f>
        <v>0.08726896948699434</v>
      </c>
      <c r="I48" s="5"/>
    </row>
    <row r="49" spans="1:7" ht="15">
      <c r="A49" t="s">
        <v>100</v>
      </c>
      <c r="B49" t="s">
        <v>101</v>
      </c>
      <c r="C49" s="17" t="s">
        <v>99</v>
      </c>
      <c r="D49" s="24">
        <f>D46*D48</f>
        <v>55.64717393499831</v>
      </c>
      <c r="E49" s="17"/>
      <c r="F49" s="17" t="s">
        <v>98</v>
      </c>
      <c r="G49" s="48">
        <f>G46*G48</f>
        <v>0.07446828849089093</v>
      </c>
    </row>
    <row r="50" spans="3:7" ht="15">
      <c r="C50" s="17"/>
      <c r="D50" s="17"/>
      <c r="E50" s="17"/>
      <c r="F50" s="17"/>
      <c r="G50" s="17"/>
    </row>
    <row r="51" spans="3:7" ht="15">
      <c r="C51" s="17"/>
      <c r="D51" s="46"/>
      <c r="E51" s="17"/>
      <c r="F51" s="17"/>
      <c r="G51" s="46"/>
    </row>
    <row r="52" spans="1:7" ht="15">
      <c r="A52" s="1" t="s">
        <v>23</v>
      </c>
      <c r="C52" s="17"/>
      <c r="D52" s="46"/>
      <c r="E52" s="17"/>
      <c r="F52" s="17"/>
      <c r="G52" s="46"/>
    </row>
    <row r="53" ht="15">
      <c r="D53" s="5"/>
    </row>
    <row r="55" spans="3:5" ht="15">
      <c r="C55" s="3" t="s">
        <v>50</v>
      </c>
      <c r="D55" s="3" t="s">
        <v>92</v>
      </c>
      <c r="E55" s="3" t="s">
        <v>104</v>
      </c>
    </row>
    <row r="56" spans="3:5" ht="15">
      <c r="C56">
        <v>40</v>
      </c>
      <c r="D56" s="4">
        <v>48.77890039156676</v>
      </c>
      <c r="E56" t="s">
        <v>117</v>
      </c>
    </row>
    <row r="57" spans="3:4" ht="15">
      <c r="C57">
        <f>C56+20</f>
        <v>60</v>
      </c>
      <c r="D57" s="4">
        <v>151.8064381762211</v>
      </c>
    </row>
    <row r="58" spans="3:4" ht="15">
      <c r="C58">
        <f aca="true" t="shared" si="0" ref="C58:C77">C57+20</f>
        <v>80</v>
      </c>
      <c r="D58" s="4">
        <v>359.55540608784537</v>
      </c>
    </row>
    <row r="59" spans="3:4" ht="15">
      <c r="C59">
        <f t="shared" si="0"/>
        <v>100</v>
      </c>
      <c r="D59" s="4">
        <v>713.3266130374146</v>
      </c>
    </row>
    <row r="60" spans="3:4" ht="15">
      <c r="C60">
        <f t="shared" si="0"/>
        <v>120</v>
      </c>
      <c r="D60" s="4">
        <v>1254.6180262241583</v>
      </c>
    </row>
    <row r="61" spans="3:4" ht="15">
      <c r="C61">
        <f t="shared" si="0"/>
        <v>140</v>
      </c>
      <c r="D61" s="4">
        <v>2025.1262012697246</v>
      </c>
    </row>
    <row r="62" spans="3:5" ht="15">
      <c r="C62">
        <f t="shared" si="0"/>
        <v>160</v>
      </c>
      <c r="D62" s="4">
        <v>3066.6711764964098</v>
      </c>
      <c r="E62" t="s">
        <v>105</v>
      </c>
    </row>
    <row r="63" spans="3:5" ht="15">
      <c r="C63">
        <f t="shared" si="0"/>
        <v>180</v>
      </c>
      <c r="D63" s="4">
        <v>4421.156032608934</v>
      </c>
      <c r="E63" t="s">
        <v>105</v>
      </c>
    </row>
    <row r="64" spans="3:5" ht="15">
      <c r="C64">
        <f t="shared" si="0"/>
        <v>200</v>
      </c>
      <c r="D64" s="4">
        <v>6130.542892303186</v>
      </c>
      <c r="E64" t="s">
        <v>105</v>
      </c>
    </row>
    <row r="65" spans="3:5" ht="15">
      <c r="C65">
        <f t="shared" si="0"/>
        <v>220</v>
      </c>
      <c r="D65" s="4">
        <v>8236.837644049507</v>
      </c>
      <c r="E65" t="s">
        <v>105</v>
      </c>
    </row>
    <row r="66" spans="3:5" ht="15">
      <c r="C66">
        <f t="shared" si="0"/>
        <v>240</v>
      </c>
      <c r="D66" s="4">
        <v>10782.079689576316</v>
      </c>
      <c r="E66" t="s">
        <v>105</v>
      </c>
    </row>
    <row r="67" spans="3:5" ht="15">
      <c r="C67">
        <f t="shared" si="0"/>
        <v>260</v>
      </c>
      <c r="D67" s="4">
        <v>13808.334770415284</v>
      </c>
      <c r="E67" t="s">
        <v>105</v>
      </c>
    </row>
    <row r="68" spans="3:5" ht="15">
      <c r="C68">
        <f t="shared" si="0"/>
        <v>280</v>
      </c>
      <c r="D68" s="4">
        <v>17357.689777128267</v>
      </c>
      <c r="E68" t="s">
        <v>105</v>
      </c>
    </row>
    <row r="69" spans="3:5" ht="15">
      <c r="C69">
        <f t="shared" si="0"/>
        <v>300</v>
      </c>
      <c r="D69" s="4">
        <v>21472.248887489244</v>
      </c>
      <c r="E69" t="s">
        <v>105</v>
      </c>
    </row>
    <row r="70" spans="3:5" ht="15">
      <c r="C70">
        <f t="shared" si="0"/>
        <v>320</v>
      </c>
      <c r="D70" s="4">
        <v>26194.130625591442</v>
      </c>
      <c r="E70" t="s">
        <v>105</v>
      </c>
    </row>
    <row r="71" spans="3:5" ht="15">
      <c r="C71">
        <f t="shared" si="0"/>
        <v>340</v>
      </c>
      <c r="D71" s="4">
        <v>31565.465577308125</v>
      </c>
      <c r="E71" t="s">
        <v>105</v>
      </c>
    </row>
    <row r="72" spans="3:5" ht="15">
      <c r="C72">
        <f t="shared" si="0"/>
        <v>360</v>
      </c>
      <c r="D72" s="4">
        <v>37628.394584925205</v>
      </c>
      <c r="E72" t="s">
        <v>105</v>
      </c>
    </row>
    <row r="73" spans="3:5" ht="15">
      <c r="C73">
        <f t="shared" si="0"/>
        <v>380</v>
      </c>
      <c r="D73" s="4">
        <v>44425.067298951</v>
      </c>
      <c r="E73" t="s">
        <v>105</v>
      </c>
    </row>
    <row r="74" spans="3:5" ht="15">
      <c r="C74">
        <f t="shared" si="0"/>
        <v>400</v>
      </c>
      <c r="D74" s="4">
        <v>51997.64100105826</v>
      </c>
      <c r="E74" t="s">
        <v>105</v>
      </c>
    </row>
    <row r="75" spans="3:5" ht="15">
      <c r="C75">
        <f t="shared" si="0"/>
        <v>420</v>
      </c>
      <c r="D75" s="4">
        <v>60388.27963617398</v>
      </c>
      <c r="E75" t="s">
        <v>105</v>
      </c>
    </row>
    <row r="76" spans="3:5" ht="15">
      <c r="C76">
        <f t="shared" si="0"/>
        <v>440</v>
      </c>
      <c r="D76" s="4">
        <v>69639.15300822286</v>
      </c>
      <c r="E76" t="s">
        <v>105</v>
      </c>
    </row>
    <row r="77" spans="3:5" ht="15">
      <c r="C77">
        <f t="shared" si="0"/>
        <v>460</v>
      </c>
      <c r="D77" s="4">
        <v>79792.43610557217</v>
      </c>
      <c r="E77" t="s">
        <v>105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6:G6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3.00390625" style="0" customWidth="1"/>
    <col min="4" max="4" width="12.57421875" style="0" bestFit="1" customWidth="1"/>
    <col min="7" max="7" width="10.57421875" style="0" bestFit="1" customWidth="1"/>
  </cols>
  <sheetData>
    <row r="6" spans="1:7" ht="15">
      <c r="A6" s="1" t="s">
        <v>0</v>
      </c>
      <c r="C6" s="16" t="s">
        <v>6</v>
      </c>
      <c r="D6" s="16"/>
      <c r="E6" s="17"/>
      <c r="F6" s="16" t="s">
        <v>7</v>
      </c>
      <c r="G6" s="16"/>
    </row>
    <row r="7" spans="1:7" ht="15">
      <c r="A7" s="2" t="s">
        <v>148</v>
      </c>
      <c r="C7" s="16"/>
      <c r="D7" s="16"/>
      <c r="E7" s="17"/>
      <c r="F7" s="16"/>
      <c r="G7" s="16"/>
    </row>
    <row r="8" spans="1:7" ht="15">
      <c r="A8" s="13" t="s">
        <v>48</v>
      </c>
      <c r="B8" t="s">
        <v>147</v>
      </c>
      <c r="C8" s="17" t="s">
        <v>51</v>
      </c>
      <c r="D8" s="50">
        <f>G8/12*0.3048</f>
        <v>0.6604</v>
      </c>
      <c r="E8" s="17"/>
      <c r="F8" s="17" t="s">
        <v>16</v>
      </c>
      <c r="G8" s="52">
        <v>26</v>
      </c>
    </row>
    <row r="9" spans="1:7" ht="15">
      <c r="A9" s="13"/>
      <c r="B9" t="s">
        <v>145</v>
      </c>
      <c r="C9" s="17"/>
      <c r="D9" s="24">
        <f>G9</f>
        <v>2</v>
      </c>
      <c r="E9" s="17"/>
      <c r="F9" s="17"/>
      <c r="G9" s="53">
        <v>2</v>
      </c>
    </row>
    <row r="10" spans="1:7" ht="15">
      <c r="A10" s="13" t="s">
        <v>155</v>
      </c>
      <c r="B10" t="s">
        <v>144</v>
      </c>
      <c r="C10" s="17"/>
      <c r="D10" s="26">
        <f>G10</f>
        <v>5</v>
      </c>
      <c r="E10" s="17"/>
      <c r="F10" s="17"/>
      <c r="G10" s="52">
        <v>5</v>
      </c>
    </row>
    <row r="11" spans="1:7" ht="15">
      <c r="A11" s="13" t="s">
        <v>166</v>
      </c>
      <c r="B11" t="s">
        <v>167</v>
      </c>
      <c r="C11" s="17"/>
      <c r="D11" s="26">
        <f>fH</f>
        <v>1</v>
      </c>
      <c r="E11" s="17"/>
      <c r="F11" s="17"/>
      <c r="G11" s="52">
        <v>1</v>
      </c>
    </row>
    <row r="12" spans="1:7" ht="15">
      <c r="A12" s="2" t="s">
        <v>149</v>
      </c>
      <c r="C12" s="16"/>
      <c r="D12" s="16"/>
      <c r="E12" s="17"/>
      <c r="F12" s="16"/>
      <c r="G12" s="16"/>
    </row>
    <row r="13" spans="1:7" ht="15">
      <c r="A13" s="13" t="s">
        <v>155</v>
      </c>
      <c r="B13" t="s">
        <v>146</v>
      </c>
      <c r="C13" s="17" t="s">
        <v>69</v>
      </c>
      <c r="D13" s="59">
        <f>G13/60</f>
        <v>2.0833333333333335</v>
      </c>
      <c r="E13" s="17"/>
      <c r="F13" s="17" t="s">
        <v>54</v>
      </c>
      <c r="G13" s="52">
        <v>125</v>
      </c>
    </row>
    <row r="14" spans="1:7" ht="15">
      <c r="A14" s="13" t="s">
        <v>156</v>
      </c>
      <c r="B14" t="s">
        <v>151</v>
      </c>
      <c r="C14" s="17" t="s">
        <v>51</v>
      </c>
      <c r="D14" s="59">
        <f>G14/12*0.3048</f>
        <v>4.2164</v>
      </c>
      <c r="E14" s="17"/>
      <c r="F14" s="17" t="s">
        <v>16</v>
      </c>
      <c r="G14" s="52">
        <v>166</v>
      </c>
    </row>
    <row r="15" spans="1:7" ht="15">
      <c r="A15" s="13" t="s">
        <v>157</v>
      </c>
      <c r="B15" t="s">
        <v>142</v>
      </c>
      <c r="C15" s="17" t="s">
        <v>51</v>
      </c>
      <c r="D15" s="59">
        <f>G15/12*0.3048</f>
        <v>0.3048</v>
      </c>
      <c r="E15" s="17"/>
      <c r="F15" s="17" t="s">
        <v>16</v>
      </c>
      <c r="G15" s="52">
        <v>12</v>
      </c>
    </row>
    <row r="16" spans="1:7" ht="15">
      <c r="A16" s="13"/>
      <c r="B16" t="s">
        <v>143</v>
      </c>
      <c r="C16" s="17" t="s">
        <v>51</v>
      </c>
      <c r="D16" s="59">
        <f>G16/12*0.3048</f>
        <v>2.0066</v>
      </c>
      <c r="E16" s="17"/>
      <c r="F16" s="17" t="s">
        <v>16</v>
      </c>
      <c r="G16" s="52">
        <v>79</v>
      </c>
    </row>
    <row r="17" spans="1:7" ht="15">
      <c r="A17" s="13"/>
      <c r="B17" t="s">
        <v>141</v>
      </c>
      <c r="C17" s="17" t="s">
        <v>136</v>
      </c>
      <c r="D17" s="60">
        <v>197000000000</v>
      </c>
      <c r="E17" s="51"/>
      <c r="F17" s="17" t="s">
        <v>135</v>
      </c>
      <c r="G17" s="54">
        <v>28600000</v>
      </c>
    </row>
    <row r="18" spans="1:7" ht="15">
      <c r="A18" s="13"/>
      <c r="B18" t="s">
        <v>140</v>
      </c>
      <c r="C18" s="17" t="s">
        <v>14</v>
      </c>
      <c r="D18" s="24">
        <f>27680*G18</f>
        <v>8027.2</v>
      </c>
      <c r="E18" s="17"/>
      <c r="F18" s="17" t="s">
        <v>139</v>
      </c>
      <c r="G18" s="55">
        <v>0.29</v>
      </c>
    </row>
    <row r="19" spans="1:7" ht="15">
      <c r="A19" s="13"/>
      <c r="B19" t="s">
        <v>138</v>
      </c>
      <c r="C19" s="17" t="s">
        <v>136</v>
      </c>
      <c r="D19" s="60">
        <v>41000000</v>
      </c>
      <c r="E19" s="17"/>
      <c r="F19" s="17" t="s">
        <v>135</v>
      </c>
      <c r="G19" s="53">
        <v>6000</v>
      </c>
    </row>
    <row r="20" spans="1:7" ht="15">
      <c r="A20" s="13"/>
      <c r="B20" t="s">
        <v>137</v>
      </c>
      <c r="C20" s="17" t="s">
        <v>136</v>
      </c>
      <c r="D20" s="60">
        <v>69000000</v>
      </c>
      <c r="E20" s="17"/>
      <c r="F20" s="17" t="s">
        <v>135</v>
      </c>
      <c r="G20" s="53">
        <v>10000</v>
      </c>
    </row>
    <row r="21" spans="1:7" ht="15">
      <c r="A21" s="2" t="s">
        <v>152</v>
      </c>
      <c r="C21" s="17"/>
      <c r="D21" s="17"/>
      <c r="E21" s="17"/>
      <c r="F21" s="17"/>
      <c r="G21" s="17"/>
    </row>
    <row r="22" spans="1:7" ht="15">
      <c r="A22" t="s">
        <v>159</v>
      </c>
      <c r="B22" t="s">
        <v>150</v>
      </c>
      <c r="C22" s="17" t="s">
        <v>14</v>
      </c>
      <c r="D22" s="24">
        <f>27680*G22</f>
        <v>999.5555555555554</v>
      </c>
      <c r="E22" s="17"/>
      <c r="F22" s="17" t="s">
        <v>139</v>
      </c>
      <c r="G22" s="56">
        <f>62.4/12^3</f>
        <v>0.03611111111111111</v>
      </c>
    </row>
    <row r="23" spans="1:7" ht="15">
      <c r="A23" t="s">
        <v>92</v>
      </c>
      <c r="B23" t="s">
        <v>153</v>
      </c>
      <c r="C23" s="17" t="s">
        <v>99</v>
      </c>
      <c r="D23" s="24">
        <f>G23*745</f>
        <v>5587.5</v>
      </c>
      <c r="E23" s="17"/>
      <c r="F23" s="17" t="s">
        <v>98</v>
      </c>
      <c r="G23" s="55">
        <v>7.5</v>
      </c>
    </row>
    <row r="24" spans="3:7" ht="15">
      <c r="C24" s="17"/>
      <c r="D24" s="17"/>
      <c r="E24" s="17"/>
      <c r="F24" s="17"/>
      <c r="G24" s="17"/>
    </row>
    <row r="25" spans="1:7" ht="15">
      <c r="A25" s="1" t="s">
        <v>168</v>
      </c>
      <c r="C25" s="17"/>
      <c r="D25" s="17"/>
      <c r="E25" s="17"/>
      <c r="F25" s="17"/>
      <c r="G25" s="17"/>
    </row>
    <row r="26" spans="1:7" ht="15">
      <c r="A26" t="s">
        <v>163</v>
      </c>
      <c r="C26" s="17"/>
      <c r="D26" s="17"/>
      <c r="E26" s="17"/>
      <c r="F26" s="17"/>
      <c r="G26" s="17"/>
    </row>
    <row r="27" spans="2:7" ht="15">
      <c r="B27" t="s">
        <v>160</v>
      </c>
      <c r="C27" s="17" t="s">
        <v>51</v>
      </c>
      <c r="D27" s="61" t="str">
        <f>IF(NoImpellers=3,Lsi-2*D16,"NA")</f>
        <v>NA</v>
      </c>
      <c r="E27" s="17"/>
      <c r="F27" s="17" t="s">
        <v>16</v>
      </c>
      <c r="G27" s="57" t="str">
        <f>IF(NoImpellers=3,L-2*G16,"NA")</f>
        <v>NA</v>
      </c>
    </row>
    <row r="28" spans="2:7" ht="15">
      <c r="B28" t="s">
        <v>161</v>
      </c>
      <c r="C28" s="17" t="s">
        <v>51</v>
      </c>
      <c r="D28" s="61">
        <f>IF(NoImpellers&gt;1,Lsi-D16,"NA")</f>
        <v>2.2098</v>
      </c>
      <c r="E28" s="17"/>
      <c r="F28" s="17" t="s">
        <v>16</v>
      </c>
      <c r="G28" s="57">
        <f>IF(NoImpellers&gt;1,L-G16,"NA")</f>
        <v>87</v>
      </c>
    </row>
    <row r="29" spans="2:7" ht="15">
      <c r="B29" t="s">
        <v>162</v>
      </c>
      <c r="C29" s="17" t="s">
        <v>51</v>
      </c>
      <c r="D29" s="41">
        <f>Lsi</f>
        <v>4.2164</v>
      </c>
      <c r="E29" s="17"/>
      <c r="F29" s="17" t="s">
        <v>16</v>
      </c>
      <c r="G29" s="32">
        <f>L</f>
        <v>166</v>
      </c>
    </row>
    <row r="30" spans="2:7" ht="15">
      <c r="B30" t="s">
        <v>164</v>
      </c>
      <c r="C30" s="17" t="s">
        <v>99</v>
      </c>
      <c r="D30" s="24">
        <f>D23/D9</f>
        <v>2793.75</v>
      </c>
      <c r="E30" s="17"/>
      <c r="F30" s="17" t="s">
        <v>98</v>
      </c>
      <c r="G30" s="33">
        <f>G23/NoImpellers</f>
        <v>3.75</v>
      </c>
    </row>
    <row r="31" spans="1:7" ht="15">
      <c r="A31" t="s">
        <v>165</v>
      </c>
      <c r="C31" s="17"/>
      <c r="D31" s="17"/>
      <c r="E31" s="17"/>
      <c r="F31" s="17"/>
      <c r="G31" s="17"/>
    </row>
    <row r="32" spans="2:7" ht="15">
      <c r="B32" t="s">
        <v>129</v>
      </c>
      <c r="C32" s="17" t="s">
        <v>126</v>
      </c>
      <c r="D32" s="41">
        <f>(D65*Dsi^3*(D$30)/rps)^0.5</f>
        <v>7.3534137637458805</v>
      </c>
      <c r="E32" s="17"/>
      <c r="F32" s="17" t="s">
        <v>125</v>
      </c>
      <c r="G32" s="32">
        <f>(G65*D^3*(G$30)/rpm)^0.5</f>
        <v>16.236994795835834</v>
      </c>
    </row>
    <row r="33" spans="2:7" ht="15">
      <c r="B33" t="s">
        <v>128</v>
      </c>
      <c r="C33" s="17" t="s">
        <v>126</v>
      </c>
      <c r="D33" s="41">
        <f>(D66*Dsi^3*(D$30)/rps)^0.5</f>
        <v>5.695929808952039</v>
      </c>
      <c r="E33" s="17"/>
      <c r="F33" s="17" t="s">
        <v>125</v>
      </c>
      <c r="G33" s="32">
        <f>(G66*D^3*(G$30)/rpm)^0.5</f>
        <v>12.577122087345737</v>
      </c>
    </row>
    <row r="34" spans="3:7" ht="15">
      <c r="C34" s="17"/>
      <c r="D34" s="17"/>
      <c r="E34" s="17"/>
      <c r="F34" s="17"/>
      <c r="G34" s="17"/>
    </row>
    <row r="35" spans="3:7" ht="15">
      <c r="C35" s="17"/>
      <c r="D35" s="17"/>
      <c r="E35" s="17"/>
      <c r="F35" s="17"/>
      <c r="G35" s="17"/>
    </row>
    <row r="36" spans="1:7" ht="15">
      <c r="A36" s="1" t="s">
        <v>59</v>
      </c>
      <c r="C36" s="17"/>
      <c r="D36" s="17"/>
      <c r="E36" s="17"/>
      <c r="F36" s="17"/>
      <c r="G36" s="17"/>
    </row>
    <row r="37" spans="2:7" ht="15">
      <c r="B37" t="s">
        <v>134</v>
      </c>
      <c r="C37" s="17" t="s">
        <v>133</v>
      </c>
      <c r="D37" s="24">
        <f>Npsi*rosi*rps^2*Dsi^5/(2*PI())</f>
        <v>433.6605552201324</v>
      </c>
      <c r="E37" s="17"/>
      <c r="F37" s="17" t="s">
        <v>132</v>
      </c>
      <c r="G37" s="30">
        <f>63025*hp/rpm</f>
        <v>3781.5</v>
      </c>
    </row>
    <row r="38" spans="2:7" ht="15">
      <c r="B38" t="s">
        <v>158</v>
      </c>
      <c r="C38" s="17" t="s">
        <v>133</v>
      </c>
      <c r="D38" s="24">
        <f>(0.048*D30*fH/(rps*Dsi))*(Lsi+IF(L_2si&lt;&gt;"NA",L_2si,0)+IF(L_1si&lt;&gt;"NA",L_1si,0))</f>
        <v>626.3501538461537</v>
      </c>
      <c r="E38" s="17"/>
      <c r="F38" s="17" t="s">
        <v>132</v>
      </c>
      <c r="G38" s="30">
        <f>(19000*G30*fH/(rpm*D))*(L+IF(L_2&lt;&gt;"NA",L_2,0)+IF(L_1&lt;&gt;"NA",L_1,0))</f>
        <v>5546.538461538462</v>
      </c>
    </row>
    <row r="39" spans="3:7" ht="15">
      <c r="C39" s="17"/>
      <c r="D39" s="17"/>
      <c r="E39" s="17"/>
      <c r="F39" s="17"/>
      <c r="G39" s="17"/>
    </row>
    <row r="40" spans="1:7" ht="15">
      <c r="A40" s="2" t="s">
        <v>131</v>
      </c>
      <c r="C40" s="17"/>
      <c r="D40" s="17"/>
      <c r="E40" s="17"/>
      <c r="F40" s="17"/>
      <c r="G40" s="17"/>
    </row>
    <row r="41" spans="2:7" ht="15">
      <c r="B41" t="s">
        <v>169</v>
      </c>
      <c r="C41" s="17" t="s">
        <v>51</v>
      </c>
      <c r="D41" s="41">
        <f>((16*(D37^2+D38^2)^0.5)/(PI()*D19))^(1/3)</f>
        <v>0.045570135957474646</v>
      </c>
      <c r="E41" s="17"/>
      <c r="F41" s="17" t="s">
        <v>16</v>
      </c>
      <c r="G41" s="42">
        <f>((16*(G37^2+G38^2)^0.5)/(PI()*G19))^(1/3)</f>
        <v>1.7861213909275981</v>
      </c>
    </row>
    <row r="42" spans="3:7" ht="15">
      <c r="C42" s="17" t="s">
        <v>42</v>
      </c>
      <c r="D42" s="41">
        <f>D41*1000</f>
        <v>45.57013595747465</v>
      </c>
      <c r="E42" s="17"/>
      <c r="F42" s="17" t="s">
        <v>42</v>
      </c>
      <c r="G42" s="42">
        <f>G41*25.4</f>
        <v>45.36748332956099</v>
      </c>
    </row>
    <row r="43" spans="2:7" ht="15">
      <c r="B43" t="s">
        <v>170</v>
      </c>
      <c r="C43" s="17" t="s">
        <v>51</v>
      </c>
      <c r="D43" s="41">
        <f>(16*(D38+(D37^2+D38^2)^0.5)/(PI()*D20))^(1/3)</f>
        <v>0.046793802435665006</v>
      </c>
      <c r="E43" s="17"/>
      <c r="F43" s="17" t="s">
        <v>16</v>
      </c>
      <c r="G43" s="42">
        <f>(16*(G38+(G37^2+G38^2)^0.5)/(PI()*G20))^(1/3)</f>
        <v>1.8413977314173116</v>
      </c>
    </row>
    <row r="44" spans="3:7" ht="15">
      <c r="C44" s="17" t="s">
        <v>42</v>
      </c>
      <c r="D44" s="41">
        <f>D43*1000</f>
        <v>46.79380243566501</v>
      </c>
      <c r="E44" s="17"/>
      <c r="F44" s="17" t="s">
        <v>42</v>
      </c>
      <c r="G44" s="42">
        <f>G43*25.4</f>
        <v>46.77150237799971</v>
      </c>
    </row>
    <row r="45" spans="2:7" ht="15">
      <c r="B45" t="s">
        <v>171</v>
      </c>
      <c r="C45" s="17" t="s">
        <v>42</v>
      </c>
      <c r="D45" s="62">
        <f>MAX(40,10*INT((MAX(D42,D44)+10)/10))</f>
        <v>50</v>
      </c>
      <c r="E45" s="17"/>
      <c r="F45" s="17" t="s">
        <v>16</v>
      </c>
      <c r="G45" s="58">
        <f>MAX(1.5,INT(2*(MAX(G41,G43)+0.5))/2)</f>
        <v>2</v>
      </c>
    </row>
    <row r="46" spans="3:7" ht="15">
      <c r="C46" s="17"/>
      <c r="D46" s="17"/>
      <c r="E46" s="17"/>
      <c r="F46" s="17"/>
      <c r="G46" s="17"/>
    </row>
    <row r="47" spans="1:7" ht="15">
      <c r="A47" s="2" t="s">
        <v>130</v>
      </c>
      <c r="C47" s="17"/>
      <c r="D47" s="17"/>
      <c r="E47" s="17"/>
      <c r="F47" s="17"/>
      <c r="G47" s="17"/>
    </row>
    <row r="48" spans="2:7" ht="15">
      <c r="B48" t="s">
        <v>172</v>
      </c>
      <c r="C48" s="17" t="s">
        <v>126</v>
      </c>
      <c r="D48" s="38">
        <v>9</v>
      </c>
      <c r="E48" s="17"/>
      <c r="F48" s="17" t="s">
        <v>125</v>
      </c>
      <c r="G48" s="52">
        <v>20</v>
      </c>
    </row>
    <row r="49" spans="3:7" ht="15">
      <c r="C49" s="17"/>
      <c r="D49" s="17"/>
      <c r="E49" s="17"/>
      <c r="F49" s="17"/>
      <c r="G49" s="17"/>
    </row>
    <row r="50" spans="1:7" ht="15">
      <c r="A50" s="2" t="s">
        <v>174</v>
      </c>
      <c r="C50" s="17"/>
      <c r="D50" s="17"/>
      <c r="E50" s="17"/>
      <c r="F50" s="17"/>
      <c r="G50" s="17"/>
    </row>
    <row r="51" spans="2:7" ht="15">
      <c r="B51" t="s">
        <v>129</v>
      </c>
      <c r="C51" s="17" t="s">
        <v>126</v>
      </c>
      <c r="D51" s="41">
        <f>D32+D$48</f>
        <v>16.35341376374588</v>
      </c>
      <c r="E51" s="17"/>
      <c r="F51" s="17" t="s">
        <v>125</v>
      </c>
      <c r="G51" s="42">
        <f>G32+G$48</f>
        <v>36.236994795835834</v>
      </c>
    </row>
    <row r="52" spans="1:7" ht="15">
      <c r="A52" t="s">
        <v>99</v>
      </c>
      <c r="B52" t="s">
        <v>128</v>
      </c>
      <c r="C52" s="17" t="s">
        <v>126</v>
      </c>
      <c r="D52" s="41">
        <f>D33+D$48</f>
        <v>14.69592980895204</v>
      </c>
      <c r="E52" s="17"/>
      <c r="F52" s="17" t="s">
        <v>125</v>
      </c>
      <c r="G52" s="42">
        <f>G33+G$48</f>
        <v>32.577122087345735</v>
      </c>
    </row>
    <row r="53" spans="3:7" ht="15">
      <c r="C53" s="17"/>
      <c r="D53" s="17"/>
      <c r="E53" s="17"/>
      <c r="F53" s="17"/>
      <c r="G53" s="17"/>
    </row>
    <row r="54" spans="1:7" ht="15">
      <c r="A54" s="2" t="s">
        <v>127</v>
      </c>
      <c r="C54" s="17"/>
      <c r="D54" s="17"/>
      <c r="E54" s="17"/>
      <c r="F54" s="17"/>
      <c r="G54" s="17"/>
    </row>
    <row r="55" spans="1:7" ht="15">
      <c r="A55" t="s">
        <v>173</v>
      </c>
      <c r="B55" t="s">
        <v>129</v>
      </c>
      <c r="C55" s="17" t="s">
        <v>126</v>
      </c>
      <c r="D55" s="41">
        <f>Whydrofoilkg+IF(L_1si&lt;&gt;"NA",Whydrofoilkg*(L_1si/Lsi)^3,0)+IF(L_2si&lt;&gt;"NA",Whydrofoilkg*(L_2si/Lsi)^3,0)</f>
        <v>18.70760597685757</v>
      </c>
      <c r="E55" s="17"/>
      <c r="F55" s="17" t="s">
        <v>125</v>
      </c>
      <c r="G55" s="42">
        <f>Whydrofoil+IF(L_1&lt;&gt;"NA",Whydrofoil*(L_1/L)^3,0)+IF(L_2&lt;&gt;"NA",Whydrofoil*(L_2/L)^3,0)</f>
        <v>41.453572337831865</v>
      </c>
    </row>
    <row r="56" spans="2:7" ht="15">
      <c r="B56" t="s">
        <v>128</v>
      </c>
      <c r="C56" s="17" t="s">
        <v>126</v>
      </c>
      <c r="D56" s="41">
        <f>WPBTkg+IF(L_1si&lt;&gt;"NA",WPBTkg*(L_1si/Lsi)^3,0)+IF(L_2si&lt;&gt;"NA",WPBTkg*(L_2si/Lsi)^3,0)</f>
        <v>16.811515216408036</v>
      </c>
      <c r="E56" s="17"/>
      <c r="F56" s="17" t="s">
        <v>125</v>
      </c>
      <c r="G56" s="42">
        <f>WPBT+IF(L_1&lt;&gt;"NA",WPBT*(L_1/L)^3,0)+IF(L_2&lt;&gt;"NA",WPBT*(L_2/L)^3,0)</f>
        <v>37.266834477161225</v>
      </c>
    </row>
    <row r="57" spans="3:7" ht="15">
      <c r="C57" s="17"/>
      <c r="D57" s="17"/>
      <c r="E57" s="17"/>
      <c r="F57" s="17"/>
      <c r="G57" s="17"/>
    </row>
    <row r="58" spans="1:7" ht="15">
      <c r="A58" s="2" t="s">
        <v>175</v>
      </c>
      <c r="C58" s="17"/>
      <c r="D58" s="17"/>
      <c r="E58" s="17"/>
      <c r="F58" s="17"/>
      <c r="G58" s="17"/>
    </row>
    <row r="59" spans="2:7" ht="15">
      <c r="B59" t="s">
        <v>129</v>
      </c>
      <c r="C59" s="17" t="s">
        <v>69</v>
      </c>
      <c r="D59" s="27">
        <f>(5.33*(ShaftDsi/1000)^2*(D$17/D$18)^0.5)/(Lsi*(Lsi+Sbsi)^0.5*(D55+D$18/4*PI()*((ShaftDsi/1000)/2)^2*Lsi)^0.5)</f>
        <v>1.2388794018613092</v>
      </c>
      <c r="E59" s="17"/>
      <c r="F59" s="17" t="s">
        <v>54</v>
      </c>
      <c r="G59" s="33">
        <f>(37.8*ShaftD^2*(G$17/G$18)^0.5)/(L*(L+Sb)^0.5*(G55+G$18/4*PI()*(ShaftD/2)^2*L)^0.5)</f>
        <v>76.15237512694854</v>
      </c>
    </row>
    <row r="60" spans="2:7" ht="15">
      <c r="B60" t="s">
        <v>128</v>
      </c>
      <c r="C60" s="17" t="s">
        <v>69</v>
      </c>
      <c r="D60" s="27">
        <f>(5.33*(ShaftDsi/1000)^2*(D$17/D$18)^0.5)/(Lsi*(Lsi+Sbsi)^0.5*(D56+D$18/4*PI()*((ShaftDsi/1000)/2)^2*Lsi)^0.5)</f>
        <v>1.2735329234321693</v>
      </c>
      <c r="E60" s="17"/>
      <c r="F60" s="17" t="s">
        <v>54</v>
      </c>
      <c r="G60" s="33">
        <f>(37.8*ShaftD^2*(G$17/G$18)^0.5)/(L*(L+Sb)^0.5*(G56+G$18/4*PI()*(ShaftD/2)^2*L)^0.5)</f>
        <v>78.24695394903839</v>
      </c>
    </row>
    <row r="61" spans="3:7" ht="15">
      <c r="C61" s="17"/>
      <c r="D61" s="17"/>
      <c r="E61" s="17"/>
      <c r="F61" s="17"/>
      <c r="G61" s="17"/>
    </row>
    <row r="63" ht="15">
      <c r="A63" s="1" t="s">
        <v>23</v>
      </c>
    </row>
    <row r="64" ht="15">
      <c r="A64" t="s">
        <v>154</v>
      </c>
    </row>
    <row r="65" spans="2:7" ht="15">
      <c r="B65" t="s">
        <v>129</v>
      </c>
      <c r="D65">
        <v>0.14</v>
      </c>
      <c r="G65">
        <v>0.5</v>
      </c>
    </row>
    <row r="66" spans="2:7" ht="15">
      <c r="B66" t="s">
        <v>128</v>
      </c>
      <c r="D66">
        <v>0.084</v>
      </c>
      <c r="G66">
        <v>0.3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Blending and Agitation</dc:title>
  <dc:subject/>
  <dc:creator>Stephen M Hall</dc:creator>
  <cp:keywords/>
  <dc:description>Chapter 16
Rules of Thumb for Chemical Engineers, 5th Edition</dc:description>
  <cp:lastModifiedBy>Stephen Hall</cp:lastModifiedBy>
  <dcterms:created xsi:type="dcterms:W3CDTF">2011-08-10T13:23:07Z</dcterms:created>
  <dcterms:modified xsi:type="dcterms:W3CDTF">2012-03-13T11:53:37Z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