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'Sheet1'!$A$2:$M$262</definedName>
  </definedNames>
  <calcPr fullCalcOnLoad="1"/>
</workbook>
</file>

<file path=xl/sharedStrings.xml><?xml version="1.0" encoding="utf-8"?>
<sst xmlns="http://schemas.openxmlformats.org/spreadsheetml/2006/main" count="608" uniqueCount="406">
  <si>
    <t>S</t>
  </si>
  <si>
    <t>V</t>
  </si>
  <si>
    <t>-</t>
  </si>
  <si>
    <t>cm/s</t>
  </si>
  <si>
    <t>l</t>
  </si>
  <si>
    <t>b</t>
  </si>
  <si>
    <t>ε</t>
  </si>
  <si>
    <t>T</t>
  </si>
  <si>
    <t>F</t>
  </si>
  <si>
    <t>RT/F</t>
  </si>
  <si>
    <t>q</t>
  </si>
  <si>
    <t>=B</t>
  </si>
  <si>
    <t>α</t>
  </si>
  <si>
    <t>cm</t>
  </si>
  <si>
    <r>
      <t>A/dm</t>
    </r>
    <r>
      <rPr>
        <b/>
        <vertAlign val="superscript"/>
        <sz val="10"/>
        <color indexed="12"/>
        <rFont val="ＭＳ Ｐゴシック"/>
        <family val="3"/>
      </rPr>
      <t>2</t>
    </r>
  </si>
  <si>
    <t>℃</t>
  </si>
  <si>
    <t>I/S</t>
  </si>
  <si>
    <t>Pa</t>
  </si>
  <si>
    <r>
      <t xml:space="preserve">8 </t>
    </r>
    <r>
      <rPr>
        <b/>
        <i/>
        <sz val="12"/>
        <rFont val="ＭＳ Ｐゴシック"/>
        <family val="3"/>
      </rPr>
      <t>p</t>
    </r>
    <r>
      <rPr>
        <b/>
        <sz val="12"/>
        <rFont val="ＭＳ Ｐゴシック"/>
        <family val="3"/>
      </rPr>
      <t xml:space="preserve">, </t>
    </r>
    <r>
      <rPr>
        <b/>
        <i/>
        <sz val="12"/>
        <rFont val="ＭＳ Ｐゴシック"/>
        <family val="3"/>
      </rPr>
      <t>ζ</t>
    </r>
    <r>
      <rPr>
        <b/>
        <vertAlign val="subscript"/>
        <sz val="12"/>
        <rFont val="ＭＳ Ｐゴシック"/>
        <family val="3"/>
      </rPr>
      <t>in</t>
    </r>
    <r>
      <rPr>
        <b/>
        <sz val="12"/>
        <rFont val="ＭＳ Ｐゴシック"/>
        <family val="3"/>
      </rPr>
      <t xml:space="preserve">, </t>
    </r>
    <r>
      <rPr>
        <b/>
        <i/>
        <sz val="12"/>
        <rFont val="ＭＳ Ｐゴシック"/>
        <family val="3"/>
      </rPr>
      <t>ζ</t>
    </r>
    <r>
      <rPr>
        <b/>
        <vertAlign val="subscript"/>
        <sz val="12"/>
        <rFont val="ＭＳ Ｐゴシック"/>
        <family val="3"/>
      </rPr>
      <t>out</t>
    </r>
    <r>
      <rPr>
        <b/>
        <sz val="12"/>
        <rFont val="ＭＳ Ｐゴシック"/>
        <family val="3"/>
      </rPr>
      <t>、</t>
    </r>
    <r>
      <rPr>
        <b/>
        <i/>
        <sz val="12"/>
        <rFont val="ＭＳ Ｐゴシック"/>
        <family val="3"/>
      </rPr>
      <t>a</t>
    </r>
    <r>
      <rPr>
        <b/>
        <i/>
        <vertAlign val="subscript"/>
        <sz val="12"/>
        <rFont val="ＭＳ Ｐゴシック"/>
        <family val="3"/>
      </rPr>
      <t>1</t>
    </r>
    <r>
      <rPr>
        <b/>
        <sz val="12"/>
        <rFont val="ＭＳ Ｐゴシック"/>
        <family val="3"/>
      </rPr>
      <t>、</t>
    </r>
    <r>
      <rPr>
        <b/>
        <i/>
        <sz val="12"/>
        <rFont val="ＭＳ Ｐゴシック"/>
        <family val="3"/>
      </rPr>
      <t>a</t>
    </r>
    <r>
      <rPr>
        <b/>
        <i/>
        <vertAlign val="subscript"/>
        <sz val="12"/>
        <rFont val="ＭＳ Ｐゴシック"/>
        <family val="3"/>
      </rPr>
      <t>2</t>
    </r>
    <r>
      <rPr>
        <b/>
        <sz val="12"/>
        <rFont val="ＭＳ Ｐゴシック"/>
        <family val="3"/>
      </rPr>
      <t>、</t>
    </r>
    <r>
      <rPr>
        <b/>
        <i/>
        <sz val="12"/>
        <rFont val="ＭＳ Ｐゴシック"/>
        <family val="3"/>
      </rPr>
      <t>a</t>
    </r>
    <r>
      <rPr>
        <b/>
        <i/>
        <vertAlign val="subscript"/>
        <sz val="12"/>
        <rFont val="ＭＳ Ｐゴシック"/>
        <family val="3"/>
      </rPr>
      <t>3</t>
    </r>
  </si>
  <si>
    <t>Re</t>
  </si>
  <si>
    <t>1 Fundamental specifications of an electrodialyzer and operating conditions</t>
  </si>
  <si>
    <t>℃</t>
  </si>
  <si>
    <t>Nunmber of concentrating cells</t>
  </si>
  <si>
    <t>Hydrodynamic diameter</t>
  </si>
  <si>
    <t>Salt concentration at the outlets of desalting cells</t>
  </si>
  <si>
    <t>2 Fundamental operating conditions of an electrodialyzer</t>
  </si>
  <si>
    <t>Linear velocity at the outlets of desalting cells</t>
  </si>
  <si>
    <t>Linear velocity at the outlets of concentrating cells</t>
  </si>
  <si>
    <t>3 Solution electric resistance and salt activity coefficient in concentrating cells</t>
  </si>
  <si>
    <t>4 Solution electric resistance and salt activity coefficient at the inlets of desalting cells</t>
  </si>
  <si>
    <r>
      <t>5 Computation at</t>
    </r>
    <r>
      <rPr>
        <b/>
        <i/>
        <sz val="12"/>
        <rFont val="ＭＳ Ｐゴシック"/>
        <family val="3"/>
      </rPr>
      <t>V</t>
    </r>
    <r>
      <rPr>
        <b/>
        <vertAlign val="subscript"/>
        <sz val="12"/>
        <rFont val="ＭＳ Ｐゴシック"/>
        <family val="3"/>
      </rPr>
      <t>in</t>
    </r>
    <r>
      <rPr>
        <b/>
        <sz val="12"/>
        <rFont val="ＭＳ Ｐゴシック"/>
        <family val="3"/>
      </rPr>
      <t>=</t>
    </r>
    <r>
      <rPr>
        <b/>
        <i/>
        <sz val="12"/>
        <rFont val="ＭＳ Ｐゴシック"/>
        <family val="3"/>
      </rPr>
      <t>V</t>
    </r>
    <r>
      <rPr>
        <b/>
        <vertAlign val="subscript"/>
        <sz val="12"/>
        <rFont val="ＭＳ Ｐゴシック"/>
        <family val="3"/>
      </rPr>
      <t>out</t>
    </r>
  </si>
  <si>
    <r>
      <t xml:space="preserve">6 </t>
    </r>
    <r>
      <rPr>
        <b/>
        <i/>
        <sz val="12"/>
        <rFont val="ＭＳ Ｐゴシック"/>
        <family val="3"/>
      </rPr>
      <t>i</t>
    </r>
    <r>
      <rPr>
        <b/>
        <vertAlign val="subscript"/>
        <sz val="12"/>
        <rFont val="ＭＳ Ｐゴシック"/>
        <family val="3"/>
      </rPr>
      <t>in</t>
    </r>
    <r>
      <rPr>
        <b/>
        <sz val="12"/>
        <rFont val="ＭＳ Ｐゴシック"/>
        <family val="3"/>
      </rPr>
      <t xml:space="preserve">, </t>
    </r>
    <r>
      <rPr>
        <b/>
        <i/>
        <sz val="12"/>
        <rFont val="ＭＳ Ｐゴシック"/>
        <family val="3"/>
      </rPr>
      <t>i</t>
    </r>
    <r>
      <rPr>
        <b/>
        <vertAlign val="subscript"/>
        <sz val="12"/>
        <rFont val="ＭＳ Ｐゴシック"/>
        <family val="3"/>
      </rPr>
      <t>out</t>
    </r>
    <r>
      <rPr>
        <b/>
        <sz val="12"/>
        <rFont val="ＭＳ Ｐゴシック"/>
        <family val="3"/>
      </rPr>
      <t>, ohmic voltage, membrane potential, cell voltage, energy consumption</t>
    </r>
  </si>
  <si>
    <t>R</t>
  </si>
  <si>
    <t>VAs/Kmol</t>
  </si>
  <si>
    <t>K</t>
  </si>
  <si>
    <t>As/mol</t>
  </si>
  <si>
    <t>cells</t>
  </si>
  <si>
    <r>
      <t>cm</t>
    </r>
    <r>
      <rPr>
        <vertAlign val="superscript"/>
        <sz val="10"/>
        <color indexed="8"/>
        <rFont val="ＭＳ Ｐゴシック"/>
        <family val="3"/>
      </rPr>
      <t>4</t>
    </r>
    <r>
      <rPr>
        <sz val="10"/>
        <color indexed="8"/>
        <rFont val="ＭＳ Ｐゴシック"/>
        <family val="3"/>
      </rPr>
      <t>/eq・s</t>
    </r>
  </si>
  <si>
    <r>
      <t>cm</t>
    </r>
    <r>
      <rPr>
        <vertAlign val="superscript"/>
        <sz val="10"/>
        <rFont val="ＭＳ Ｐゴシック"/>
        <family val="3"/>
      </rPr>
      <t>2</t>
    </r>
  </si>
  <si>
    <t>Membrane area</t>
  </si>
  <si>
    <r>
      <t>Ωcm</t>
    </r>
    <r>
      <rPr>
        <vertAlign val="superscript"/>
        <sz val="10"/>
        <rFont val="ＭＳ Ｐゴシック"/>
        <family val="3"/>
      </rPr>
      <t>2</t>
    </r>
  </si>
  <si>
    <r>
      <t>d</t>
    </r>
    <r>
      <rPr>
        <i/>
        <vertAlign val="subscript"/>
        <sz val="10"/>
        <rFont val="ＭＳ Ｐゴシック"/>
        <family val="3"/>
      </rPr>
      <t>H</t>
    </r>
    <r>
      <rPr>
        <i/>
        <sz val="10"/>
        <rFont val="ＭＳ Ｐゴシック"/>
        <family val="3"/>
      </rPr>
      <t>' = d</t>
    </r>
    <r>
      <rPr>
        <i/>
        <vertAlign val="subscript"/>
        <sz val="10"/>
        <rFont val="ＭＳ Ｐゴシック"/>
        <family val="3"/>
      </rPr>
      <t>H</t>
    </r>
    <r>
      <rPr>
        <i/>
        <sz val="10"/>
        <rFont val="ＭＳ Ｐゴシック"/>
        <family val="3"/>
      </rPr>
      <t>"</t>
    </r>
  </si>
  <si>
    <r>
      <t>eq/cm</t>
    </r>
    <r>
      <rPr>
        <vertAlign val="superscript"/>
        <sz val="10"/>
        <rFont val="ＭＳ Ｐゴシック"/>
        <family val="3"/>
      </rPr>
      <t>3</t>
    </r>
  </si>
  <si>
    <r>
      <t>eq/dm</t>
    </r>
    <r>
      <rPr>
        <vertAlign val="superscript"/>
        <sz val="10"/>
        <rFont val="ＭＳ Ｐゴシック"/>
        <family val="3"/>
      </rPr>
      <t>3</t>
    </r>
  </si>
  <si>
    <r>
      <t>g/dm</t>
    </r>
    <r>
      <rPr>
        <vertAlign val="superscript"/>
        <sz val="10"/>
        <rFont val="ＭＳ Ｐゴシック"/>
        <family val="3"/>
      </rPr>
      <t>3</t>
    </r>
  </si>
  <si>
    <t>g/ｋｇ</t>
  </si>
  <si>
    <r>
      <t>C'</t>
    </r>
    <r>
      <rPr>
        <i/>
        <vertAlign val="subscript"/>
        <sz val="10"/>
        <color indexed="10"/>
        <rFont val="ＭＳ Ｐゴシック"/>
        <family val="3"/>
      </rPr>
      <t>p</t>
    </r>
  </si>
  <si>
    <r>
      <t>eq/cm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s</t>
    </r>
  </si>
  <si>
    <r>
      <t>C'</t>
    </r>
    <r>
      <rPr>
        <i/>
        <vertAlign val="subscript"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</si>
  <si>
    <r>
      <t>C"</t>
    </r>
    <r>
      <rPr>
        <i/>
        <vertAlign val="subscript"/>
        <sz val="10"/>
        <color indexed="10"/>
        <rFont val="ＭＳ Ｐゴシック"/>
        <family val="3"/>
      </rPr>
      <t>p</t>
    </r>
  </si>
  <si>
    <r>
      <t>C"</t>
    </r>
    <r>
      <rPr>
        <i/>
        <vertAlign val="subscript"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</si>
  <si>
    <r>
      <t>cm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/s</t>
    </r>
  </si>
  <si>
    <r>
      <t>cm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/dm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h</t>
    </r>
  </si>
  <si>
    <t>Volume of concentrate</t>
  </si>
  <si>
    <r>
      <t>Q'</t>
    </r>
    <r>
      <rPr>
        <vertAlign val="subscript"/>
        <sz val="10"/>
        <rFont val="ＭＳ Ｐゴシック"/>
        <family val="3"/>
      </rPr>
      <t>in</t>
    </r>
  </si>
  <si>
    <r>
      <t>u'</t>
    </r>
    <r>
      <rPr>
        <vertAlign val="subscript"/>
        <sz val="10"/>
        <rFont val="ＭＳ Ｐゴシック"/>
        <family val="3"/>
      </rPr>
      <t>out</t>
    </r>
  </si>
  <si>
    <r>
      <t>u'</t>
    </r>
    <r>
      <rPr>
        <i/>
        <vertAlign val="subscript"/>
        <sz val="10"/>
        <color indexed="8"/>
        <rFont val="ＭＳ Ｐゴシック"/>
        <family val="3"/>
      </rPr>
      <t>p</t>
    </r>
  </si>
  <si>
    <r>
      <t>u'</t>
    </r>
    <r>
      <rPr>
        <i/>
        <vertAlign val="subscript"/>
        <sz val="10"/>
        <color indexed="8"/>
        <rFont val="ＭＳ Ｐゴシック"/>
        <family val="3"/>
      </rPr>
      <t>p/2</t>
    </r>
  </si>
  <si>
    <r>
      <t>u"</t>
    </r>
    <r>
      <rPr>
        <i/>
        <vertAlign val="subscript"/>
        <sz val="10"/>
        <color indexed="8"/>
        <rFont val="ＭＳ Ｐゴシック"/>
        <family val="3"/>
      </rPr>
      <t>out</t>
    </r>
  </si>
  <si>
    <r>
      <t>u"</t>
    </r>
    <r>
      <rPr>
        <i/>
        <vertAlign val="subscript"/>
        <sz val="10"/>
        <color indexed="8"/>
        <rFont val="ＭＳ Ｐゴシック"/>
        <family val="3"/>
      </rPr>
      <t>p</t>
    </r>
  </si>
  <si>
    <r>
      <t>u"</t>
    </r>
    <r>
      <rPr>
        <i/>
        <vertAlign val="subscript"/>
        <sz val="10"/>
        <color indexed="8"/>
        <rFont val="ＭＳ Ｐゴシック"/>
        <family val="3"/>
      </rPr>
      <t>p/2</t>
    </r>
  </si>
  <si>
    <r>
      <t>Q"</t>
    </r>
    <r>
      <rPr>
        <i/>
        <vertAlign val="subscript"/>
        <sz val="10"/>
        <rFont val="ＭＳ Ｐゴシック"/>
        <family val="3"/>
      </rPr>
      <t>in</t>
    </r>
  </si>
  <si>
    <r>
      <t>Q"</t>
    </r>
    <r>
      <rPr>
        <i/>
        <vertAlign val="subscript"/>
        <sz val="10"/>
        <rFont val="ＭＳ Ｐゴシック"/>
        <family val="3"/>
      </rPr>
      <t>out</t>
    </r>
  </si>
  <si>
    <t>Recovery</t>
  </si>
  <si>
    <r>
      <t>x</t>
    </r>
    <r>
      <rPr>
        <sz val="10"/>
        <rFont val="ＭＳ Ｐゴシック"/>
        <family val="3"/>
      </rPr>
      <t xml:space="preserve"> = 0</t>
    </r>
  </si>
  <si>
    <r>
      <t>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>pl</t>
    </r>
  </si>
  <si>
    <r>
      <t>x</t>
    </r>
    <r>
      <rPr>
        <sz val="10"/>
        <color indexed="8"/>
        <rFont val="ＭＳ Ｐゴシック"/>
        <family val="3"/>
      </rPr>
      <t xml:space="preserve"> =</t>
    </r>
    <r>
      <rPr>
        <i/>
        <sz val="10"/>
        <color indexed="8"/>
        <rFont val="ＭＳ Ｐゴシック"/>
        <family val="3"/>
      </rPr>
      <t xml:space="preserve"> l</t>
    </r>
  </si>
  <si>
    <t>Inlet</t>
  </si>
  <si>
    <t>Point p</t>
  </si>
  <si>
    <t>Outlet</t>
  </si>
  <si>
    <r>
      <t>C"</t>
    </r>
    <r>
      <rPr>
        <vertAlign val="subscript"/>
        <sz val="10"/>
        <rFont val="ＭＳ Ｐゴシック"/>
        <family val="3"/>
      </rPr>
      <t>1</t>
    </r>
  </si>
  <si>
    <r>
      <t>C"</t>
    </r>
    <r>
      <rPr>
        <vertAlign val="subscript"/>
        <sz val="10"/>
        <rFont val="ＭＳ Ｐゴシック"/>
        <family val="3"/>
      </rPr>
      <t>2</t>
    </r>
  </si>
  <si>
    <r>
      <t>C"</t>
    </r>
    <r>
      <rPr>
        <vertAlign val="subscript"/>
        <sz val="10"/>
        <rFont val="ＭＳ Ｐゴシック"/>
        <family val="3"/>
      </rPr>
      <t>3</t>
    </r>
  </si>
  <si>
    <t>g/kg</t>
  </si>
  <si>
    <t>κ"</t>
  </si>
  <si>
    <t>S/cm</t>
  </si>
  <si>
    <t>Conductivity</t>
  </si>
  <si>
    <t>γ"</t>
  </si>
  <si>
    <t>Salt activity coefficient</t>
  </si>
  <si>
    <r>
      <t xml:space="preserve">(1) Solution electric resistance and salt activity coefficient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0 </t>
    </r>
  </si>
  <si>
    <r>
      <t>C'</t>
    </r>
    <r>
      <rPr>
        <vertAlign val="subscript"/>
        <sz val="10"/>
        <rFont val="ＭＳ Ｐゴシック"/>
        <family val="3"/>
      </rPr>
      <t>in,1</t>
    </r>
  </si>
  <si>
    <r>
      <t>C'</t>
    </r>
    <r>
      <rPr>
        <vertAlign val="subscript"/>
        <sz val="10"/>
        <rFont val="ＭＳ Ｐゴシック"/>
        <family val="3"/>
      </rPr>
      <t>in,2</t>
    </r>
  </si>
  <si>
    <r>
      <t>C'</t>
    </r>
    <r>
      <rPr>
        <vertAlign val="subscript"/>
        <sz val="10"/>
        <rFont val="ＭＳ Ｐゴシック"/>
        <family val="3"/>
      </rPr>
      <t>in,3</t>
    </r>
  </si>
  <si>
    <r>
      <t>κ'</t>
    </r>
    <r>
      <rPr>
        <vertAlign val="subscript"/>
        <sz val="10"/>
        <rFont val="ＭＳ Ｐゴシック"/>
        <family val="3"/>
      </rPr>
      <t>in</t>
    </r>
  </si>
  <si>
    <t>Solution electric conductivity</t>
  </si>
  <si>
    <r>
      <t>γ'</t>
    </r>
    <r>
      <rPr>
        <vertAlign val="subscript"/>
        <sz val="10"/>
        <rFont val="ＭＳ Ｐゴシック"/>
        <family val="3"/>
      </rPr>
      <t>in</t>
    </r>
  </si>
  <si>
    <r>
      <t>(2)</t>
    </r>
    <r>
      <rPr>
        <i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Membrane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0 </t>
    </r>
  </si>
  <si>
    <r>
      <t>r</t>
    </r>
    <r>
      <rPr>
        <vertAlign val="subscript"/>
        <sz val="10"/>
        <rFont val="ＭＳ Ｐゴシック"/>
        <family val="3"/>
      </rPr>
      <t>dire</t>
    </r>
    <r>
      <rPr>
        <sz val="10"/>
        <rFont val="ＭＳ Ｐゴシック"/>
        <family val="3"/>
      </rPr>
      <t>*/</t>
    </r>
    <r>
      <rPr>
        <i/>
        <sz val="10"/>
        <rFont val="ＭＳ Ｐゴシック"/>
        <family val="3"/>
      </rPr>
      <t>r</t>
    </r>
    <r>
      <rPr>
        <vertAlign val="subscript"/>
        <sz val="10"/>
        <rFont val="ＭＳ Ｐゴシック"/>
        <family val="3"/>
      </rPr>
      <t>alter</t>
    </r>
  </si>
  <si>
    <r>
      <t xml:space="preserve">unit of </t>
    </r>
    <r>
      <rPr>
        <i/>
        <sz val="10"/>
        <color indexed="8"/>
        <rFont val="ＭＳ Ｐゴシック"/>
        <family val="3"/>
      </rPr>
      <t>κ</t>
    </r>
    <r>
      <rPr>
        <sz val="10"/>
        <color indexed="8"/>
        <rFont val="ＭＳ Ｐゴシック"/>
        <family val="3"/>
      </rPr>
      <t xml:space="preserve"> in the equation is S/cm</t>
    </r>
  </si>
  <si>
    <r>
      <t>r</t>
    </r>
    <r>
      <rPr>
        <vertAlign val="subscript"/>
        <sz val="10"/>
        <rFont val="ＭＳ Ｐゴシック"/>
        <family val="3"/>
      </rPr>
      <t>dire,in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r</t>
    </r>
    <r>
      <rPr>
        <vertAlign val="subscript"/>
        <sz val="10"/>
        <rFont val="ＭＳ Ｐゴシック"/>
        <family val="3"/>
      </rPr>
      <t>dire</t>
    </r>
    <r>
      <rPr>
        <sz val="10"/>
        <rFont val="ＭＳ Ｐゴシック"/>
        <family val="3"/>
      </rPr>
      <t>*</t>
    </r>
  </si>
  <si>
    <t>j</t>
  </si>
  <si>
    <r>
      <t>ξ</t>
    </r>
    <r>
      <rPr>
        <vertAlign val="subscript"/>
        <sz val="10"/>
        <rFont val="ＭＳ Ｐゴシック"/>
        <family val="3"/>
      </rPr>
      <t>j</t>
    </r>
  </si>
  <si>
    <r>
      <t>C'</t>
    </r>
    <r>
      <rPr>
        <vertAlign val="subscript"/>
        <sz val="10"/>
        <rFont val="ＭＳ Ｐゴシック"/>
        <family val="3"/>
      </rPr>
      <t>out,j,1</t>
    </r>
  </si>
  <si>
    <r>
      <t>C'</t>
    </r>
    <r>
      <rPr>
        <vertAlign val="subscript"/>
        <sz val="10"/>
        <rFont val="ＭＳ Ｐゴシック"/>
        <family val="3"/>
      </rPr>
      <t>out,j,2</t>
    </r>
  </si>
  <si>
    <r>
      <t>C'</t>
    </r>
    <r>
      <rPr>
        <vertAlign val="subscript"/>
        <sz val="10"/>
        <rFont val="ＭＳ Ｐゴシック"/>
        <family val="3"/>
      </rPr>
      <t>out,j,3</t>
    </r>
  </si>
  <si>
    <r>
      <t>κ'</t>
    </r>
    <r>
      <rPr>
        <vertAlign val="subscript"/>
        <sz val="10"/>
        <rFont val="ＭＳ Ｐゴシック"/>
        <family val="3"/>
      </rPr>
      <t>out,j</t>
    </r>
  </si>
  <si>
    <r>
      <t>r'</t>
    </r>
    <r>
      <rPr>
        <vertAlign val="subscript"/>
        <sz val="10"/>
        <rFont val="ＭＳ Ｐゴシック"/>
        <family val="3"/>
      </rPr>
      <t>out,j</t>
    </r>
  </si>
  <si>
    <r>
      <t>Y</t>
    </r>
    <r>
      <rPr>
        <vertAlign val="subscript"/>
        <sz val="10"/>
        <rFont val="ＭＳ Ｐゴシック"/>
        <family val="3"/>
      </rPr>
      <t>j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</si>
  <si>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</t>
    </r>
    <r>
      <rPr>
        <i/>
        <sz val="10"/>
        <rFont val="ＭＳ Ｐゴシック"/>
        <family val="3"/>
      </rPr>
      <t>r'</t>
    </r>
    <r>
      <rPr>
        <vertAlign val="subscript"/>
        <sz val="10"/>
        <rFont val="ＭＳ Ｐゴシック"/>
        <family val="3"/>
      </rPr>
      <t>out,j</t>
    </r>
  </si>
  <si>
    <r>
      <t xml:space="preserve">(2) Stack membrane potential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>l</t>
    </r>
  </si>
  <si>
    <r>
      <t xml:space="preserve">(3) Stack direct current electric resistance and membrane pair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>l</t>
    </r>
    <r>
      <rPr>
        <sz val="10"/>
        <rFont val="ＭＳ Ｐゴシック"/>
        <family val="3"/>
      </rPr>
      <t xml:space="preserve"> </t>
    </r>
  </si>
  <si>
    <r>
      <t>γ</t>
    </r>
    <r>
      <rPr>
        <i/>
        <vertAlign val="superscript"/>
        <sz val="10"/>
        <rFont val="ＭＳ Ｐゴシック"/>
        <family val="3"/>
      </rPr>
      <t>'</t>
    </r>
    <r>
      <rPr>
        <vertAlign val="subscript"/>
        <sz val="10"/>
        <rFont val="ＭＳ Ｐゴシック"/>
        <family val="3"/>
      </rPr>
      <t>out,j</t>
    </r>
  </si>
  <si>
    <r>
      <t>r</t>
    </r>
    <r>
      <rPr>
        <vertAlign val="subscript"/>
        <sz val="10"/>
        <rFont val="ＭＳ Ｐゴシック"/>
        <family val="3"/>
      </rPr>
      <t>out,j,memb</t>
    </r>
  </si>
  <si>
    <t>-</t>
  </si>
  <si>
    <r>
      <t>Ωcm</t>
    </r>
    <r>
      <rPr>
        <vertAlign val="superscript"/>
        <sz val="10"/>
        <rFont val="ＭＳ Ｐゴシック"/>
        <family val="3"/>
      </rPr>
      <t>2</t>
    </r>
  </si>
  <si>
    <t>Stack inlet</t>
  </si>
  <si>
    <t>Stack outlet</t>
  </si>
  <si>
    <r>
      <t>A</t>
    </r>
    <r>
      <rPr>
        <vertAlign val="subscript"/>
        <sz val="10"/>
        <rFont val="ＭＳ Ｐゴシック"/>
        <family val="3"/>
      </rPr>
      <t>1</t>
    </r>
  </si>
  <si>
    <r>
      <t>A</t>
    </r>
    <r>
      <rPr>
        <vertAlign val="subscript"/>
        <sz val="10"/>
        <rFont val="ＭＳ Ｐゴシック"/>
        <family val="3"/>
      </rPr>
      <t>2</t>
    </r>
  </si>
  <si>
    <r>
      <t>B</t>
    </r>
    <r>
      <rPr>
        <vertAlign val="subscript"/>
        <sz val="10"/>
        <rFont val="ＭＳ Ｐゴシック"/>
        <family val="3"/>
      </rPr>
      <t>1</t>
    </r>
  </si>
  <si>
    <r>
      <t>B</t>
    </r>
    <r>
      <rPr>
        <vertAlign val="subscript"/>
        <sz val="10"/>
        <rFont val="ＭＳ Ｐゴシック"/>
        <family val="3"/>
      </rPr>
      <t>2</t>
    </r>
  </si>
  <si>
    <r>
      <t>A/cm</t>
    </r>
    <r>
      <rPr>
        <vertAlign val="superscript"/>
        <sz val="10"/>
        <rFont val="ＭＳ Ｐゴシック"/>
        <family val="3"/>
      </rPr>
      <t>2</t>
    </r>
  </si>
  <si>
    <t>V/cell</t>
  </si>
  <si>
    <r>
      <t>Z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=B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/A</t>
    </r>
    <r>
      <rPr>
        <vertAlign val="subscript"/>
        <sz val="10"/>
        <rFont val="ＭＳ Ｐゴシック"/>
        <family val="3"/>
      </rPr>
      <t>1</t>
    </r>
  </si>
  <si>
    <r>
      <t>β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=Z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(I/S)</t>
    </r>
  </si>
  <si>
    <r>
      <t xml:space="preserve">7 Computation at </t>
    </r>
    <r>
      <rPr>
        <b/>
        <i/>
        <sz val="12"/>
        <rFont val="ＭＳ Ｐゴシック"/>
        <family val="3"/>
      </rPr>
      <t>V</t>
    </r>
    <r>
      <rPr>
        <b/>
        <vertAlign val="subscript"/>
        <sz val="12"/>
        <rFont val="ＭＳ Ｐゴシック"/>
        <family val="3"/>
      </rPr>
      <t>in</t>
    </r>
    <r>
      <rPr>
        <b/>
        <sz val="12"/>
        <rFont val="ＭＳ Ｐゴシック"/>
        <family val="3"/>
      </rPr>
      <t>=</t>
    </r>
    <r>
      <rPr>
        <b/>
        <i/>
        <sz val="12"/>
        <rFont val="ＭＳ Ｐゴシック"/>
        <family val="3"/>
      </rPr>
      <t>V</t>
    </r>
    <r>
      <rPr>
        <b/>
        <vertAlign val="subscript"/>
        <sz val="12"/>
        <rFont val="ＭＳ Ｐゴシック"/>
        <family val="3"/>
      </rPr>
      <t>p</t>
    </r>
  </si>
  <si>
    <r>
      <t xml:space="preserve">(1) Salt concentration, specific conductance and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>=</t>
    </r>
    <r>
      <rPr>
        <i/>
        <sz val="10"/>
        <rFont val="ＭＳ Ｐゴシック"/>
        <family val="3"/>
      </rPr>
      <t xml:space="preserve">pl </t>
    </r>
    <r>
      <rPr>
        <sz val="10"/>
        <rFont val="ＭＳ Ｐゴシック"/>
        <family val="3"/>
      </rPr>
      <t>in desalting cells</t>
    </r>
  </si>
  <si>
    <r>
      <t>C'</t>
    </r>
    <r>
      <rPr>
        <vertAlign val="subscript"/>
        <sz val="10"/>
        <rFont val="ＭＳ Ｐゴシック"/>
        <family val="3"/>
      </rPr>
      <t>p,j,1</t>
    </r>
  </si>
  <si>
    <r>
      <t>C'</t>
    </r>
    <r>
      <rPr>
        <vertAlign val="subscript"/>
        <sz val="10"/>
        <color indexed="8"/>
        <rFont val="ＭＳ Ｐゴシック"/>
        <family val="3"/>
      </rPr>
      <t>p,j,2</t>
    </r>
  </si>
  <si>
    <r>
      <t>C'</t>
    </r>
    <r>
      <rPr>
        <vertAlign val="subscript"/>
        <sz val="10"/>
        <color indexed="8"/>
        <rFont val="ＭＳ Ｐゴシック"/>
        <family val="3"/>
      </rPr>
      <t>p,j,3</t>
    </r>
  </si>
  <si>
    <r>
      <t>κ'</t>
    </r>
    <r>
      <rPr>
        <vertAlign val="subscript"/>
        <sz val="10"/>
        <rFont val="ＭＳ Ｐゴシック"/>
        <family val="3"/>
      </rPr>
      <t>p,j</t>
    </r>
  </si>
  <si>
    <r>
      <t>r'</t>
    </r>
    <r>
      <rPr>
        <vertAlign val="subscript"/>
        <sz val="10"/>
        <rFont val="ＭＳ Ｐゴシック"/>
        <family val="3"/>
      </rPr>
      <t>p,j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</si>
  <si>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</t>
    </r>
    <r>
      <rPr>
        <i/>
        <sz val="10"/>
        <rFont val="ＭＳ Ｐゴシック"/>
        <family val="3"/>
      </rPr>
      <t>r'</t>
    </r>
    <r>
      <rPr>
        <vertAlign val="subscript"/>
        <sz val="10"/>
        <rFont val="ＭＳ Ｐゴシック"/>
        <family val="3"/>
      </rPr>
      <t>p,j</t>
    </r>
  </si>
  <si>
    <r>
      <t>g/dm</t>
    </r>
    <r>
      <rPr>
        <vertAlign val="superscript"/>
        <sz val="10"/>
        <color indexed="8"/>
        <rFont val="ＭＳ Ｐゴシック"/>
        <family val="3"/>
      </rPr>
      <t>3</t>
    </r>
  </si>
  <si>
    <r>
      <t>=</t>
    </r>
    <r>
      <rPr>
        <i/>
        <sz val="10"/>
        <color indexed="8"/>
        <rFont val="ＭＳ Ｐゴシック"/>
        <family val="3"/>
      </rPr>
      <t>C'</t>
    </r>
    <r>
      <rPr>
        <vertAlign val="subscript"/>
        <sz val="10"/>
        <color indexed="8"/>
        <rFont val="ＭＳ Ｐゴシック"/>
        <family val="3"/>
      </rPr>
      <t>p</t>
    </r>
  </si>
  <si>
    <r>
      <t>(2) Stack membrane potential at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>=</t>
    </r>
    <r>
      <rPr>
        <i/>
        <sz val="10"/>
        <rFont val="ＭＳ Ｐゴシック"/>
        <family val="3"/>
      </rPr>
      <t>pl</t>
    </r>
  </si>
  <si>
    <r>
      <t xml:space="preserve">(3) Stack electric resistance and membrane pair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>=</t>
    </r>
    <r>
      <rPr>
        <i/>
        <sz val="10"/>
        <rFont val="ＭＳ Ｐゴシック"/>
        <family val="3"/>
      </rPr>
      <t>pl</t>
    </r>
  </si>
  <si>
    <r>
      <t>γ</t>
    </r>
    <r>
      <rPr>
        <i/>
        <vertAlign val="superscript"/>
        <sz val="10"/>
        <rFont val="ＭＳ Ｐゴシック"/>
        <family val="3"/>
      </rPr>
      <t>'</t>
    </r>
    <r>
      <rPr>
        <vertAlign val="subscript"/>
        <sz val="10"/>
        <rFont val="ＭＳ Ｐゴシック"/>
        <family val="3"/>
      </rPr>
      <t>p,j</t>
    </r>
  </si>
  <si>
    <r>
      <t>r</t>
    </r>
    <r>
      <rPr>
        <vertAlign val="subscript"/>
        <sz val="10"/>
        <rFont val="ＭＳ Ｐゴシック"/>
        <family val="3"/>
      </rPr>
      <t>p,j,memb</t>
    </r>
  </si>
  <si>
    <r>
      <t xml:space="preserve">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0 </t>
    </r>
  </si>
  <si>
    <r>
      <t xml:space="preserve">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 xml:space="preserve">pl </t>
    </r>
  </si>
  <si>
    <t>Stack</t>
  </si>
  <si>
    <r>
      <t>Z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=C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/A</t>
    </r>
    <r>
      <rPr>
        <vertAlign val="subscript"/>
        <sz val="10"/>
        <rFont val="ＭＳ Ｐゴシック"/>
        <family val="3"/>
      </rPr>
      <t>1</t>
    </r>
  </si>
  <si>
    <r>
      <t>γ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=2{(3-2</t>
    </r>
  </si>
  <si>
    <r>
      <t>γ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=3{(Z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-</t>
    </r>
  </si>
  <si>
    <r>
      <t>Z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)-</t>
    </r>
  </si>
  <si>
    <r>
      <t>2)(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)+Z</t>
    </r>
    <r>
      <rPr>
        <vertAlign val="subscript"/>
        <sz val="10"/>
        <rFont val="ＭＳ Ｐゴシック"/>
        <family val="3"/>
      </rPr>
      <t>4</t>
    </r>
    <r>
      <rPr>
        <sz val="10"/>
        <rFont val="ＭＳ Ｐゴシック"/>
        <family val="3"/>
      </rPr>
      <t>}</t>
    </r>
  </si>
  <si>
    <r>
      <t>C</t>
    </r>
    <r>
      <rPr>
        <vertAlign val="subscript"/>
        <sz val="10"/>
        <rFont val="ＭＳ Ｐゴシック"/>
        <family val="3"/>
      </rPr>
      <t>1</t>
    </r>
  </si>
  <si>
    <r>
      <t>C</t>
    </r>
    <r>
      <rPr>
        <vertAlign val="subscript"/>
        <sz val="10"/>
        <rFont val="ＭＳ Ｐゴシック"/>
        <family val="3"/>
      </rPr>
      <t>2</t>
    </r>
  </si>
  <si>
    <r>
      <t>2Z</t>
    </r>
    <r>
      <rPr>
        <vertAlign val="subscript"/>
        <sz val="10"/>
        <rFont val="ＭＳ Ｐゴシック"/>
        <family val="3"/>
      </rPr>
      <t>4</t>
    </r>
    <r>
      <rPr>
        <sz val="10"/>
        <rFont val="ＭＳ Ｐゴシック"/>
        <family val="3"/>
      </rPr>
      <t>}</t>
    </r>
  </si>
  <si>
    <t>= A</t>
  </si>
  <si>
    <t>9 Solution viscosity and pressure difference in desalting cells and concentrating cells</t>
  </si>
  <si>
    <t>(3)Pressure difference at outlet slots in desalting cells</t>
  </si>
  <si>
    <t>μ'(viscosity)</t>
  </si>
  <si>
    <r>
      <t>dyne/cm</t>
    </r>
    <r>
      <rPr>
        <vertAlign val="superscript"/>
        <sz val="10"/>
        <rFont val="ＭＳ Ｐゴシック"/>
        <family val="3"/>
      </rPr>
      <t>2</t>
    </r>
  </si>
  <si>
    <r>
      <t>kgf/cm</t>
    </r>
    <r>
      <rPr>
        <vertAlign val="superscript"/>
        <sz val="10"/>
        <color indexed="8"/>
        <rFont val="ＭＳ Ｐゴシック"/>
        <family val="3"/>
      </rPr>
      <t>2</t>
    </r>
  </si>
  <si>
    <t>(2) Pressure difference at inlet slots in desalting cells</t>
  </si>
  <si>
    <r>
      <t>μ'</t>
    </r>
    <r>
      <rPr>
        <vertAlign val="subscript"/>
        <sz val="10"/>
        <rFont val="ＭＳ Ｐゴシック"/>
        <family val="3"/>
      </rPr>
      <t>in</t>
    </r>
    <r>
      <rPr>
        <sz val="10"/>
        <rFont val="ＭＳ Ｐゴシック"/>
        <family val="3"/>
      </rPr>
      <t>(viscosity)</t>
    </r>
  </si>
  <si>
    <r>
      <t>C'</t>
    </r>
    <r>
      <rPr>
        <i/>
        <vertAlign val="subscript"/>
        <sz val="10"/>
        <rFont val="ＭＳ Ｐゴシック"/>
        <family val="3"/>
      </rPr>
      <t>out,3</t>
    </r>
  </si>
  <si>
    <r>
      <t>dyne/cm</t>
    </r>
    <r>
      <rPr>
        <vertAlign val="superscript"/>
        <sz val="10"/>
        <rFont val="ＭＳ Ｐゴシック"/>
        <family val="3"/>
      </rPr>
      <t>2</t>
    </r>
  </si>
  <si>
    <t>Pa</t>
  </si>
  <si>
    <r>
      <t>kgf/cm</t>
    </r>
    <r>
      <rPr>
        <vertAlign val="superscript"/>
        <sz val="10"/>
        <color indexed="8"/>
        <rFont val="ＭＳ Ｐゴシック"/>
        <family val="3"/>
      </rPr>
      <t>2</t>
    </r>
  </si>
  <si>
    <t>cm</t>
  </si>
  <si>
    <r>
      <t>C"</t>
    </r>
    <r>
      <rPr>
        <i/>
        <vertAlign val="subscript"/>
        <sz val="10"/>
        <rFont val="ＭＳ Ｐゴシック"/>
        <family val="3"/>
      </rPr>
      <t>p,3</t>
    </r>
  </si>
  <si>
    <t>g/kg</t>
  </si>
  <si>
    <t>μ"(viscosity)</t>
  </si>
  <si>
    <r>
      <t>dyne/cm</t>
    </r>
    <r>
      <rPr>
        <vertAlign val="superscript"/>
        <sz val="10"/>
        <color indexed="8"/>
        <rFont val="ＭＳ Ｐゴシック"/>
        <family val="3"/>
      </rPr>
      <t>2</t>
    </r>
  </si>
  <si>
    <t>(5) Pressure difference at inlet slots in concentrating cells</t>
  </si>
  <si>
    <r>
      <t>C"</t>
    </r>
    <r>
      <rPr>
        <i/>
        <vertAlign val="subscript"/>
        <sz val="10"/>
        <rFont val="ＭＳ Ｐゴシック"/>
        <family val="3"/>
      </rPr>
      <t>in,3</t>
    </r>
  </si>
  <si>
    <r>
      <t>μ"</t>
    </r>
    <r>
      <rPr>
        <vertAlign val="subscript"/>
        <sz val="10"/>
        <rFont val="ＭＳ Ｐゴシック"/>
        <family val="3"/>
      </rPr>
      <t>in</t>
    </r>
    <r>
      <rPr>
        <sz val="10"/>
        <rFont val="ＭＳ Ｐゴシック"/>
        <family val="3"/>
      </rPr>
      <t>(viscosity)</t>
    </r>
  </si>
  <si>
    <t>(6) Pressure difference at outlet slots in concentrating cells</t>
  </si>
  <si>
    <r>
      <t>C"</t>
    </r>
    <r>
      <rPr>
        <i/>
        <vertAlign val="subscript"/>
        <sz val="10"/>
        <rFont val="ＭＳ Ｐゴシック"/>
        <family val="3"/>
      </rPr>
      <t>out,3</t>
    </r>
  </si>
  <si>
    <r>
      <t>μ"</t>
    </r>
    <r>
      <rPr>
        <vertAlign val="subscript"/>
        <sz val="10"/>
        <rFont val="ＭＳ Ｐゴシック"/>
        <family val="3"/>
      </rPr>
      <t>out</t>
    </r>
    <r>
      <rPr>
        <sz val="10"/>
        <rFont val="ＭＳ Ｐゴシック"/>
        <family val="3"/>
      </rPr>
      <t>(viscosity)</t>
    </r>
  </si>
  <si>
    <t>10 Limiting current density</t>
  </si>
  <si>
    <r>
      <t>Adjust</t>
    </r>
    <r>
      <rPr>
        <i/>
        <sz val="10"/>
        <color indexed="10"/>
        <rFont val="ＭＳ Ｐゴシック"/>
        <family val="3"/>
      </rPr>
      <t xml:space="preserve"> C'</t>
    </r>
    <r>
      <rPr>
        <vertAlign val="subscript"/>
        <sz val="10"/>
        <color indexed="10"/>
        <rFont val="ＭＳ Ｐゴシック"/>
        <family val="3"/>
      </rPr>
      <t>out</t>
    </r>
    <r>
      <rPr>
        <vertAlign val="superscript"/>
        <sz val="10"/>
        <color indexed="10"/>
        <rFont val="ＭＳ Ｐゴシック"/>
        <family val="3"/>
      </rPr>
      <t xml:space="preserve"># </t>
    </r>
    <r>
      <rPr>
        <sz val="10"/>
        <color indexed="10"/>
        <rFont val="ＭＳ Ｐゴシック"/>
        <family val="3"/>
      </rPr>
      <t>to realize B = 0</t>
    </r>
  </si>
  <si>
    <t>Limiting current density</t>
  </si>
  <si>
    <r>
      <t>μ'</t>
    </r>
    <r>
      <rPr>
        <vertAlign val="subscript"/>
        <sz val="10"/>
        <rFont val="ＭＳ Ｐゴシック"/>
        <family val="3"/>
      </rPr>
      <t>out</t>
    </r>
    <r>
      <rPr>
        <sz val="10"/>
        <rFont val="ＭＳ Ｐゴシック"/>
        <family val="3"/>
      </rPr>
      <t>(viscosity)</t>
    </r>
  </si>
  <si>
    <t xml:space="preserve">   Membrane pair characteristics, Transport number, Alternating current electric resistance, Structure of gaskets.</t>
  </si>
  <si>
    <r>
      <t>(1) Salt concentration, specific conductivity and electric resistance at</t>
    </r>
    <r>
      <rPr>
        <i/>
        <sz val="10"/>
        <rFont val="ＭＳ Ｐゴシック"/>
        <family val="3"/>
      </rPr>
      <t xml:space="preserve"> x </t>
    </r>
    <r>
      <rPr>
        <sz val="10"/>
        <rFont val="ＭＳ Ｐゴシック"/>
        <family val="3"/>
      </rPr>
      <t xml:space="preserve">= </t>
    </r>
    <r>
      <rPr>
        <i/>
        <sz val="10"/>
        <rFont val="ＭＳ Ｐゴシック"/>
        <family val="3"/>
      </rPr>
      <t xml:space="preserve">l </t>
    </r>
    <r>
      <rPr>
        <sz val="10"/>
        <rFont val="ＭＳ Ｐゴシック"/>
        <family val="3"/>
      </rPr>
      <t>in desalting cells</t>
    </r>
  </si>
  <si>
    <r>
      <t>eq/cm</t>
    </r>
    <r>
      <rPr>
        <vertAlign val="superscript"/>
        <sz val="10"/>
        <color indexed="12"/>
        <rFont val="ＭＳ Ｐゴシック"/>
        <family val="3"/>
      </rPr>
      <t>3</t>
    </r>
  </si>
  <si>
    <r>
      <t>N</t>
    </r>
    <r>
      <rPr>
        <sz val="10"/>
        <rFont val="ＭＳ Ｐゴシック"/>
        <family val="3"/>
      </rPr>
      <t>+1</t>
    </r>
  </si>
  <si>
    <t>χ</t>
  </si>
  <si>
    <t>θ</t>
  </si>
  <si>
    <t>w'</t>
  </si>
  <si>
    <t>h'</t>
  </si>
  <si>
    <t>n'</t>
  </si>
  <si>
    <t>w"</t>
  </si>
  <si>
    <t>h"</t>
  </si>
  <si>
    <t>n"</t>
  </si>
  <si>
    <t>Slit hydrodynamic diameter</t>
  </si>
  <si>
    <r>
      <t>C"</t>
    </r>
    <r>
      <rPr>
        <i/>
        <vertAlign val="subscript"/>
        <sz val="10"/>
        <rFont val="ＭＳ Ｐゴシック"/>
        <family val="3"/>
      </rPr>
      <t>out</t>
    </r>
  </si>
  <si>
    <t>Salt concentration at the outlets of concentrating cells</t>
  </si>
  <si>
    <t>Desalting ratio</t>
  </si>
  <si>
    <r>
      <t>A/cm</t>
    </r>
    <r>
      <rPr>
        <vertAlign val="superscript"/>
        <sz val="10"/>
        <color indexed="12"/>
        <rFont val="ＭＳ Ｐゴシック"/>
        <family val="3"/>
      </rPr>
      <t>2</t>
    </r>
  </si>
  <si>
    <r>
      <t>eq/cm</t>
    </r>
    <r>
      <rPr>
        <vertAlign val="superscript"/>
        <sz val="10"/>
        <color indexed="10"/>
        <rFont val="ＭＳ Ｐゴシック"/>
        <family val="3"/>
      </rPr>
      <t>3</t>
    </r>
  </si>
  <si>
    <r>
      <t>ζ</t>
    </r>
    <r>
      <rPr>
        <vertAlign val="subscript"/>
        <sz val="10"/>
        <color indexed="10"/>
        <rFont val="ＭＳ Ｐゴシック"/>
        <family val="3"/>
      </rPr>
      <t>inout</t>
    </r>
  </si>
  <si>
    <r>
      <t>ζ</t>
    </r>
    <r>
      <rPr>
        <vertAlign val="subscript"/>
        <sz val="10"/>
        <color indexed="10"/>
        <rFont val="ＭＳ Ｐゴシック"/>
        <family val="3"/>
      </rPr>
      <t>inp</t>
    </r>
  </si>
  <si>
    <r>
      <t>ζ</t>
    </r>
    <r>
      <rPr>
        <vertAlign val="subscript"/>
        <sz val="10"/>
        <color indexed="10"/>
        <rFont val="ＭＳ Ｐゴシック"/>
        <family val="3"/>
      </rPr>
      <t>out</t>
    </r>
  </si>
  <si>
    <t>cm/s</t>
  </si>
  <si>
    <r>
      <t>Z</t>
    </r>
    <r>
      <rPr>
        <i/>
        <vertAlign val="subscript"/>
        <sz val="10"/>
        <color indexed="10"/>
        <rFont val="ＭＳ Ｐゴシック"/>
        <family val="3"/>
      </rPr>
      <t>1</t>
    </r>
    <r>
      <rPr>
        <sz val="10"/>
        <color indexed="10"/>
        <rFont val="ＭＳ Ｐゴシック"/>
        <family val="3"/>
      </rPr>
      <t xml:space="preserve"> </t>
    </r>
  </si>
  <si>
    <r>
      <t>Z</t>
    </r>
    <r>
      <rPr>
        <i/>
        <vertAlign val="subscript"/>
        <sz val="10"/>
        <color indexed="10"/>
        <rFont val="ＭＳ Ｐゴシック"/>
        <family val="3"/>
      </rPr>
      <t>2</t>
    </r>
  </si>
  <si>
    <r>
      <t>Z</t>
    </r>
    <r>
      <rPr>
        <i/>
        <vertAlign val="subscript"/>
        <sz val="10"/>
        <color indexed="10"/>
        <rFont val="ＭＳ Ｐゴシック"/>
        <family val="3"/>
      </rPr>
      <t>1</t>
    </r>
    <r>
      <rPr>
        <sz val="10"/>
        <color indexed="10"/>
        <rFont val="ＭＳ Ｐゴシック"/>
        <family val="3"/>
      </rPr>
      <t xml:space="preserve"> - </t>
    </r>
    <r>
      <rPr>
        <i/>
        <sz val="10"/>
        <color indexed="10"/>
        <rFont val="ＭＳ Ｐゴシック"/>
        <family val="3"/>
      </rPr>
      <t>Z</t>
    </r>
    <r>
      <rPr>
        <i/>
        <vertAlign val="subscript"/>
        <sz val="10"/>
        <color indexed="10"/>
        <rFont val="ＭＳ Ｐゴシック"/>
        <family val="3"/>
      </rPr>
      <t>2</t>
    </r>
  </si>
  <si>
    <t>P</t>
  </si>
  <si>
    <t>Q</t>
  </si>
  <si>
    <r>
      <t>eq/cm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s</t>
    </r>
  </si>
  <si>
    <r>
      <t>C"</t>
    </r>
    <r>
      <rPr>
        <i/>
        <vertAlign val="subscript"/>
        <sz val="10"/>
        <rFont val="ＭＳ Ｐゴシック"/>
        <family val="3"/>
      </rPr>
      <t>p</t>
    </r>
    <r>
      <rPr>
        <i/>
        <vertAlign val="superscript"/>
        <sz val="10"/>
        <rFont val="ＭＳ Ｐゴシック"/>
        <family val="3"/>
      </rPr>
      <t>♭</t>
    </r>
  </si>
  <si>
    <t>Salt concentration of a solution passing through a membrane pair</t>
  </si>
  <si>
    <t>a</t>
  </si>
  <si>
    <t>N</t>
  </si>
  <si>
    <r>
      <t>ΔP'</t>
    </r>
    <r>
      <rPr>
        <i/>
        <vertAlign val="subscript"/>
        <sz val="10"/>
        <rFont val="ＭＳ Ｐゴシック"/>
        <family val="3"/>
      </rPr>
      <t>slot,in</t>
    </r>
  </si>
  <si>
    <r>
      <t>ΔP"</t>
    </r>
    <r>
      <rPr>
        <i/>
        <vertAlign val="subscript"/>
        <sz val="10"/>
        <color indexed="8"/>
        <rFont val="ＭＳ Ｐゴシック"/>
        <family val="3"/>
      </rPr>
      <t>slot,in</t>
    </r>
  </si>
  <si>
    <r>
      <t>ΔP"</t>
    </r>
    <r>
      <rPr>
        <i/>
        <vertAlign val="subscript"/>
        <sz val="10"/>
        <color indexed="8"/>
        <rFont val="ＭＳ Ｐゴシック"/>
        <family val="3"/>
      </rPr>
      <t>slot,out</t>
    </r>
  </si>
  <si>
    <r>
      <t>C'</t>
    </r>
    <r>
      <rPr>
        <i/>
        <vertAlign val="subscript"/>
        <sz val="10"/>
        <rFont val="ＭＳ Ｐゴシック"/>
        <family val="3"/>
      </rPr>
      <t>1n,3</t>
    </r>
  </si>
  <si>
    <r>
      <t>C'</t>
    </r>
    <r>
      <rPr>
        <i/>
        <vertAlign val="subscript"/>
        <sz val="10"/>
        <rFont val="ＭＳ Ｐゴシック"/>
        <family val="3"/>
      </rPr>
      <t>p,3</t>
    </r>
  </si>
  <si>
    <r>
      <t>mg/dm</t>
    </r>
    <r>
      <rPr>
        <b/>
        <vertAlign val="superscript"/>
        <sz val="10"/>
        <color indexed="12"/>
        <rFont val="ＭＳ Ｐゴシック"/>
        <family val="3"/>
      </rPr>
      <t>2</t>
    </r>
  </si>
  <si>
    <r>
      <t>ΔP'</t>
    </r>
    <r>
      <rPr>
        <i/>
        <vertAlign val="subscript"/>
        <sz val="10"/>
        <color indexed="8"/>
        <rFont val="ＭＳ Ｐゴシック"/>
        <family val="3"/>
      </rPr>
      <t>slot,out</t>
    </r>
  </si>
  <si>
    <t>g/cms = poise</t>
  </si>
  <si>
    <t xml:space="preserve">g/cms = poise </t>
  </si>
  <si>
    <t>p</t>
  </si>
  <si>
    <t>I/S</t>
  </si>
  <si>
    <r>
      <t>C'</t>
    </r>
    <r>
      <rPr>
        <b/>
        <i/>
        <vertAlign val="subscript"/>
        <sz val="10"/>
        <color indexed="12"/>
        <rFont val="ＭＳ Ｐゴシック"/>
        <family val="3"/>
      </rPr>
      <t>in</t>
    </r>
    <r>
      <rPr>
        <b/>
        <sz val="10"/>
        <color indexed="12"/>
        <rFont val="ＭＳ Ｐゴシック"/>
        <family val="3"/>
      </rPr>
      <t xml:space="preserve"> </t>
    </r>
  </si>
  <si>
    <t>T</t>
  </si>
  <si>
    <t>Summary</t>
  </si>
  <si>
    <r>
      <t>A/dm</t>
    </r>
    <r>
      <rPr>
        <vertAlign val="superscript"/>
        <sz val="12"/>
        <color indexed="8"/>
        <rFont val="ＭＳ Ｐゴシック"/>
        <family val="3"/>
      </rPr>
      <t>2</t>
    </r>
  </si>
  <si>
    <r>
      <t>C'</t>
    </r>
    <r>
      <rPr>
        <i/>
        <vertAlign val="subscript"/>
        <sz val="12"/>
        <rFont val="ＭＳ Ｐゴシック"/>
        <family val="3"/>
      </rPr>
      <t>in</t>
    </r>
  </si>
  <si>
    <r>
      <t>mg/dm</t>
    </r>
    <r>
      <rPr>
        <vertAlign val="superscript"/>
        <sz val="12"/>
        <rFont val="ＭＳ Ｐゴシック"/>
        <family val="3"/>
      </rPr>
      <t>3</t>
    </r>
  </si>
  <si>
    <r>
      <t>u'</t>
    </r>
    <r>
      <rPr>
        <i/>
        <vertAlign val="subscript"/>
        <sz val="12"/>
        <rFont val="ＭＳ Ｐゴシック"/>
        <family val="3"/>
      </rPr>
      <t>in</t>
    </r>
  </si>
  <si>
    <r>
      <t>u"</t>
    </r>
    <r>
      <rPr>
        <i/>
        <vertAlign val="subscript"/>
        <sz val="12"/>
        <rFont val="ＭＳ Ｐゴシック"/>
        <family val="3"/>
      </rPr>
      <t>in</t>
    </r>
  </si>
  <si>
    <t>pair</t>
  </si>
  <si>
    <r>
      <t>J</t>
    </r>
    <r>
      <rPr>
        <i/>
        <vertAlign val="subscript"/>
        <sz val="12"/>
        <color indexed="8"/>
        <rFont val="ＭＳ Ｐゴシック"/>
        <family val="3"/>
      </rPr>
      <t>S</t>
    </r>
  </si>
  <si>
    <r>
      <t>eq/cm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・s</t>
    </r>
  </si>
  <si>
    <t>η</t>
  </si>
  <si>
    <r>
      <t>ΔP'</t>
    </r>
    <r>
      <rPr>
        <i/>
        <vertAlign val="subscript"/>
        <sz val="12"/>
        <rFont val="ＭＳ Ｐゴシック"/>
        <family val="3"/>
      </rPr>
      <t>cell</t>
    </r>
  </si>
  <si>
    <r>
      <t>J</t>
    </r>
    <r>
      <rPr>
        <i/>
        <vertAlign val="subscript"/>
        <sz val="12"/>
        <rFont val="ＭＳ Ｐゴシック"/>
        <family val="3"/>
      </rPr>
      <t>V</t>
    </r>
  </si>
  <si>
    <r>
      <t>cm</t>
    </r>
    <r>
      <rPr>
        <vertAlign val="superscript"/>
        <sz val="12"/>
        <color indexed="8"/>
        <rFont val="ＭＳ Ｐゴシック"/>
        <family val="3"/>
      </rPr>
      <t>3</t>
    </r>
    <r>
      <rPr>
        <sz val="12"/>
        <color indexed="8"/>
        <rFont val="ＭＳ Ｐゴシック"/>
        <family val="3"/>
      </rPr>
      <t>/cm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・s</t>
    </r>
  </si>
  <si>
    <r>
      <t>ΔP'</t>
    </r>
    <r>
      <rPr>
        <i/>
        <vertAlign val="subscript"/>
        <sz val="12"/>
        <rFont val="ＭＳ Ｐゴシック"/>
        <family val="3"/>
      </rPr>
      <t>total</t>
    </r>
  </si>
  <si>
    <r>
      <t>C'</t>
    </r>
    <r>
      <rPr>
        <i/>
        <vertAlign val="subscript"/>
        <sz val="12"/>
        <rFont val="ＭＳ Ｐゴシック"/>
        <family val="3"/>
      </rPr>
      <t>out</t>
    </r>
  </si>
  <si>
    <r>
      <t>mg/dm</t>
    </r>
    <r>
      <rPr>
        <vertAlign val="superscript"/>
        <sz val="12"/>
        <rFont val="ＭＳ Ｐゴシック"/>
        <family val="3"/>
      </rPr>
      <t>3</t>
    </r>
  </si>
  <si>
    <r>
      <t>ΔP"</t>
    </r>
    <r>
      <rPr>
        <i/>
        <vertAlign val="subscript"/>
        <sz val="12"/>
        <color indexed="8"/>
        <rFont val="ＭＳ Ｐゴシック"/>
        <family val="3"/>
      </rPr>
      <t>cell</t>
    </r>
  </si>
  <si>
    <r>
      <t>C"</t>
    </r>
    <r>
      <rPr>
        <i/>
        <vertAlign val="subscript"/>
        <sz val="12"/>
        <rFont val="ＭＳ Ｐゴシック"/>
        <family val="3"/>
      </rPr>
      <t>out</t>
    </r>
  </si>
  <si>
    <r>
      <t>V</t>
    </r>
    <r>
      <rPr>
        <i/>
        <vertAlign val="subscript"/>
        <sz val="12"/>
        <rFont val="ＭＳ Ｐゴシック"/>
        <family val="3"/>
      </rPr>
      <t>cell</t>
    </r>
  </si>
  <si>
    <t>V/pair</t>
  </si>
  <si>
    <r>
      <t>ΔP"</t>
    </r>
    <r>
      <rPr>
        <i/>
        <vertAlign val="subscript"/>
        <sz val="12"/>
        <color indexed="8"/>
        <rFont val="ＭＳ Ｐゴシック"/>
        <family val="3"/>
      </rPr>
      <t>total</t>
    </r>
  </si>
  <si>
    <r>
      <t>C"</t>
    </r>
    <r>
      <rPr>
        <i/>
        <vertAlign val="subscript"/>
        <sz val="12"/>
        <rFont val="ＭＳ Ｐゴシック"/>
        <family val="3"/>
      </rPr>
      <t>p</t>
    </r>
    <r>
      <rPr>
        <i/>
        <vertAlign val="superscript"/>
        <sz val="12"/>
        <rFont val="ＭＳ Ｐゴシック"/>
        <family val="3"/>
      </rPr>
      <t>♭</t>
    </r>
  </si>
  <si>
    <t>E</t>
  </si>
  <si>
    <r>
      <t>kWh/m</t>
    </r>
    <r>
      <rPr>
        <vertAlign val="superscript"/>
        <sz val="12"/>
        <color indexed="8"/>
        <rFont val="ＭＳ Ｐゴシック"/>
        <family val="3"/>
      </rPr>
      <t>3</t>
    </r>
  </si>
  <si>
    <r>
      <t>(</t>
    </r>
    <r>
      <rPr>
        <i/>
        <sz val="12"/>
        <color indexed="8"/>
        <rFont val="ＭＳ Ｐゴシック"/>
        <family val="3"/>
      </rPr>
      <t>I/S</t>
    </r>
    <r>
      <rPr>
        <sz val="12"/>
        <color indexed="8"/>
        <rFont val="ＭＳ Ｐゴシック"/>
        <family val="3"/>
      </rPr>
      <t>)</t>
    </r>
    <r>
      <rPr>
        <vertAlign val="subscript"/>
        <sz val="12"/>
        <color indexed="8"/>
        <rFont val="ＭＳ Ｐゴシック"/>
        <family val="3"/>
      </rPr>
      <t>lim</t>
    </r>
  </si>
  <si>
    <r>
      <t>A/dm</t>
    </r>
    <r>
      <rPr>
        <vertAlign val="superscript"/>
        <sz val="12"/>
        <color indexed="8"/>
        <rFont val="ＭＳ Ｐゴシック"/>
        <family val="3"/>
      </rPr>
      <t>2</t>
    </r>
  </si>
  <si>
    <r>
      <t>ζ</t>
    </r>
    <r>
      <rPr>
        <vertAlign val="subscript"/>
        <sz val="12"/>
        <color indexed="8"/>
        <rFont val="ＭＳ Ｐゴシック"/>
        <family val="3"/>
      </rPr>
      <t>out</t>
    </r>
  </si>
  <si>
    <t>N</t>
  </si>
  <si>
    <t>cells</t>
  </si>
  <si>
    <t>Nunmber of desalting cells</t>
  </si>
  <si>
    <t>Solution flux</t>
  </si>
  <si>
    <t>Out put of a desalted solution</t>
  </si>
  <si>
    <t xml:space="preserve">A </t>
  </si>
  <si>
    <t xml:space="preserve">B </t>
  </si>
  <si>
    <t>L</t>
  </si>
  <si>
    <t xml:space="preserve">M  </t>
  </si>
  <si>
    <t xml:space="preserve">N </t>
  </si>
  <si>
    <r>
      <t>mg/dm</t>
    </r>
    <r>
      <rPr>
        <vertAlign val="superscript"/>
        <sz val="10"/>
        <color indexed="12"/>
        <rFont val="ＭＳ Ｐゴシック"/>
        <family val="3"/>
      </rPr>
      <t>2</t>
    </r>
  </si>
  <si>
    <t>Control key 2</t>
  </si>
  <si>
    <r>
      <t xml:space="preserve">For preventing circular reference, Adjust </t>
    </r>
    <r>
      <rPr>
        <i/>
        <sz val="10"/>
        <color indexed="10"/>
        <rFont val="ＭＳ Ｐゴシック"/>
        <family val="3"/>
      </rPr>
      <t>C'</t>
    </r>
    <r>
      <rPr>
        <i/>
        <vertAlign val="subscript"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  <r>
      <rPr>
        <sz val="10"/>
        <color indexed="10"/>
        <rFont val="ＭＳ Ｐゴシック"/>
        <family val="3"/>
      </rPr>
      <t xml:space="preserve"> to </t>
    </r>
    <r>
      <rPr>
        <i/>
        <sz val="10"/>
        <color indexed="10"/>
        <rFont val="ＭＳ Ｐゴシック"/>
        <family val="3"/>
      </rPr>
      <t>C'</t>
    </r>
    <r>
      <rPr>
        <i/>
        <vertAlign val="subscript"/>
        <sz val="10"/>
        <color indexed="10"/>
        <rFont val="ＭＳ Ｐゴシック"/>
        <family val="3"/>
      </rPr>
      <t xml:space="preserve">p  </t>
    </r>
    <r>
      <rPr>
        <sz val="10"/>
        <color indexed="10"/>
        <rFont val="ＭＳ Ｐゴシック"/>
        <family val="3"/>
      </rPr>
      <t>Decision point 1  Control key 1</t>
    </r>
  </si>
  <si>
    <r>
      <t xml:space="preserve">For preventing circular reference, Adjust </t>
    </r>
    <r>
      <rPr>
        <i/>
        <sz val="10"/>
        <color indexed="10"/>
        <rFont val="ＭＳ Ｐゴシック"/>
        <family val="3"/>
      </rPr>
      <t>C"</t>
    </r>
    <r>
      <rPr>
        <i/>
        <vertAlign val="subscript"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  <r>
      <rPr>
        <sz val="10"/>
        <color indexed="10"/>
        <rFont val="ＭＳ Ｐゴシック"/>
        <family val="3"/>
      </rPr>
      <t xml:space="preserve"> to </t>
    </r>
    <r>
      <rPr>
        <i/>
        <sz val="10"/>
        <color indexed="10"/>
        <rFont val="ＭＳ Ｐゴシック"/>
        <family val="3"/>
      </rPr>
      <t>C"</t>
    </r>
    <r>
      <rPr>
        <i/>
        <vertAlign val="subscript"/>
        <sz val="10"/>
        <color indexed="10"/>
        <rFont val="ＭＳ Ｐゴシック"/>
        <family val="3"/>
      </rPr>
      <t xml:space="preserve">p  </t>
    </r>
    <r>
      <rPr>
        <sz val="10"/>
        <color indexed="10"/>
        <rFont val="ＭＳ Ｐゴシック"/>
        <family val="3"/>
      </rPr>
      <t>Decision poit 1  Control key 1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</si>
  <si>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×ln(</t>
    </r>
    <r>
      <rPr>
        <i/>
        <sz val="10"/>
        <rFont val="ＭＳ Ｐゴシック"/>
        <family val="3"/>
      </rPr>
      <t>γ"</t>
    </r>
    <r>
      <rPr>
        <i/>
        <vertAlign val="subscript"/>
        <sz val="10"/>
        <rFont val="ＭＳ Ｐゴシック"/>
        <family val="3"/>
      </rPr>
      <t>out</t>
    </r>
    <r>
      <rPr>
        <i/>
        <sz val="10"/>
        <rFont val="ＭＳ Ｐゴシック"/>
        <family val="3"/>
      </rPr>
      <t>C"</t>
    </r>
    <r>
      <rPr>
        <i/>
        <vertAlign val="subscript"/>
        <sz val="10"/>
        <rFont val="ＭＳ Ｐゴシック"/>
        <family val="3"/>
      </rPr>
      <t>out</t>
    </r>
  </si>
  <si>
    <r>
      <t>r</t>
    </r>
    <r>
      <rPr>
        <vertAlign val="subscript"/>
        <sz val="10"/>
        <rFont val="ＭＳ Ｐゴシック"/>
        <family val="3"/>
      </rPr>
      <t>dire</t>
    </r>
    <r>
      <rPr>
        <sz val="10"/>
        <rFont val="ＭＳ Ｐゴシック"/>
        <family val="3"/>
      </rPr>
      <t>*/</t>
    </r>
    <r>
      <rPr>
        <i/>
        <sz val="10"/>
        <rFont val="ＭＳ Ｐゴシック"/>
        <family val="3"/>
      </rPr>
      <t>r</t>
    </r>
    <r>
      <rPr>
        <i/>
        <vertAlign val="subscript"/>
        <sz val="10"/>
        <rFont val="ＭＳ Ｐゴシック"/>
        <family val="3"/>
      </rPr>
      <t>alter</t>
    </r>
  </si>
  <si>
    <r>
      <t>r</t>
    </r>
    <r>
      <rPr>
        <vertAlign val="subscript"/>
        <sz val="10"/>
        <rFont val="ＭＳ Ｐゴシック"/>
        <family val="3"/>
      </rPr>
      <t>dire,out,j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r</t>
    </r>
    <r>
      <rPr>
        <i/>
        <vertAlign val="subscript"/>
        <sz val="10"/>
        <rFont val="ＭＳ Ｐゴシック"/>
        <family val="3"/>
      </rPr>
      <t>dire</t>
    </r>
    <r>
      <rPr>
        <i/>
        <vertAlign val="superscript"/>
        <sz val="10"/>
        <rFont val="ＭＳ Ｐゴシック"/>
        <family val="3"/>
      </rPr>
      <t>*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</si>
  <si>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</t>
    </r>
    <r>
      <rPr>
        <i/>
        <sz val="10"/>
        <rFont val="ＭＳ Ｐゴシック"/>
        <family val="3"/>
      </rPr>
      <t>r</t>
    </r>
    <r>
      <rPr>
        <vertAlign val="subscript"/>
        <sz val="10"/>
        <rFont val="ＭＳ Ｐゴシック"/>
        <family val="3"/>
      </rPr>
      <t>out,j,memb</t>
    </r>
  </si>
  <si>
    <r>
      <t>/</t>
    </r>
    <r>
      <rPr>
        <i/>
        <sz val="10"/>
        <rFont val="ＭＳ Ｐゴシック"/>
        <family val="3"/>
      </rPr>
      <t>γ'</t>
    </r>
    <r>
      <rPr>
        <vertAlign val="subscript"/>
        <sz val="10"/>
        <rFont val="ＭＳ Ｐゴシック"/>
        <family val="3"/>
      </rPr>
      <t>out,</t>
    </r>
    <r>
      <rPr>
        <i/>
        <vertAlign val="subscript"/>
        <sz val="10"/>
        <rFont val="ＭＳ Ｐゴシック"/>
        <family val="3"/>
      </rPr>
      <t>j</t>
    </r>
    <r>
      <rPr>
        <i/>
        <sz val="10"/>
        <rFont val="ＭＳ Ｐゴシック"/>
        <family val="3"/>
      </rPr>
      <t>C'</t>
    </r>
    <r>
      <rPr>
        <i/>
        <vertAlign val="subscript"/>
        <sz val="10"/>
        <rFont val="ＭＳ Ｐゴシック"/>
        <family val="3"/>
      </rPr>
      <t>out,j</t>
    </r>
  </si>
  <si>
    <r>
      <t>Z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 xml:space="preserve"> =</t>
    </r>
    <r>
      <rPr>
        <vertAlign val="subscript"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-(A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-B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)/A</t>
    </r>
    <r>
      <rPr>
        <vertAlign val="subscript"/>
        <sz val="10"/>
        <rFont val="ＭＳ Ｐゴシック"/>
        <family val="3"/>
      </rPr>
      <t>1</t>
    </r>
  </si>
  <si>
    <r>
      <t>α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=(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)-Z</t>
    </r>
    <r>
      <rPr>
        <vertAlign val="subscript"/>
        <sz val="10"/>
        <rFont val="ＭＳ Ｐゴシック"/>
        <family val="3"/>
      </rPr>
      <t>2</t>
    </r>
  </si>
  <si>
    <r>
      <t>α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=-2{3(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)-2Z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}</t>
    </r>
  </si>
  <si>
    <r>
      <t>α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=3{2(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)-Z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}</t>
    </r>
  </si>
  <si>
    <r>
      <t>β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=3(Z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+1)(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</t>
    </r>
  </si>
  <si>
    <r>
      <t>β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=-2(2Z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+1)(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</si>
  <si>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×ln(</t>
    </r>
    <r>
      <rPr>
        <i/>
        <sz val="10"/>
        <rFont val="ＭＳ Ｐゴシック"/>
        <family val="3"/>
      </rPr>
      <t>γ"C"</t>
    </r>
    <r>
      <rPr>
        <i/>
        <vertAlign val="subscript"/>
        <sz val="10"/>
        <rFont val="ＭＳ Ｐゴシック"/>
        <family val="3"/>
      </rPr>
      <t>1</t>
    </r>
  </si>
  <si>
    <r>
      <t>/γ'</t>
    </r>
    <r>
      <rPr>
        <i/>
        <vertAlign val="subscript"/>
        <sz val="10"/>
        <rFont val="ＭＳ Ｐゴシック"/>
        <family val="3"/>
      </rPr>
      <t>p,j</t>
    </r>
    <r>
      <rPr>
        <i/>
        <sz val="10"/>
        <rFont val="ＭＳ Ｐゴシック"/>
        <family val="3"/>
      </rPr>
      <t>C'</t>
    </r>
    <r>
      <rPr>
        <i/>
        <vertAlign val="subscript"/>
        <sz val="10"/>
        <rFont val="ＭＳ Ｐゴシック"/>
        <family val="3"/>
      </rPr>
      <t>p,j,1</t>
    </r>
  </si>
  <si>
    <r>
      <t>r</t>
    </r>
    <r>
      <rPr>
        <vertAlign val="subscript"/>
        <sz val="10"/>
        <rFont val="ＭＳ Ｐゴシック"/>
        <family val="3"/>
      </rPr>
      <t>dire,p,j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r</t>
    </r>
    <r>
      <rPr>
        <i/>
        <vertAlign val="subscript"/>
        <sz val="10"/>
        <rFont val="ＭＳ Ｐゴシック"/>
        <family val="3"/>
      </rPr>
      <t>dire</t>
    </r>
    <r>
      <rPr>
        <i/>
        <vertAlign val="superscript"/>
        <sz val="10"/>
        <rFont val="ＭＳ Ｐゴシック"/>
        <family val="3"/>
      </rPr>
      <t>*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</si>
  <si>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</t>
    </r>
    <r>
      <rPr>
        <i/>
        <sz val="10"/>
        <rFont val="ＭＳ Ｐゴシック"/>
        <family val="3"/>
      </rPr>
      <t>r</t>
    </r>
    <r>
      <rPr>
        <vertAlign val="subscript"/>
        <sz val="10"/>
        <rFont val="ＭＳ Ｐゴシック"/>
        <family val="3"/>
      </rPr>
      <t>p,j,memb</t>
    </r>
  </si>
  <si>
    <r>
      <t>Z</t>
    </r>
    <r>
      <rPr>
        <vertAlign val="subscript"/>
        <sz val="10"/>
        <rFont val="ＭＳ Ｐゴシック"/>
        <family val="3"/>
      </rPr>
      <t>4</t>
    </r>
    <r>
      <rPr>
        <sz val="10"/>
        <rFont val="ＭＳ Ｐゴシック"/>
        <family val="3"/>
      </rPr>
      <t>=-(A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-C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)/A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 xml:space="preserve"> </t>
    </r>
  </si>
  <si>
    <r>
      <t>γ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=(Z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-1)(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)+Z</t>
    </r>
    <r>
      <rPr>
        <vertAlign val="subscript"/>
        <sz val="10"/>
        <rFont val="ＭＳ Ｐゴシック"/>
        <family val="3"/>
      </rPr>
      <t>4</t>
    </r>
  </si>
  <si>
    <r>
      <t>C"</t>
    </r>
    <r>
      <rPr>
        <i/>
        <vertAlign val="subscript"/>
        <sz val="10"/>
        <rFont val="ＭＳ Ｐゴシック"/>
        <family val="3"/>
      </rPr>
      <t>in</t>
    </r>
  </si>
  <si>
    <t>electric resistance</t>
  </si>
  <si>
    <t>membrane potential</t>
  </si>
  <si>
    <t>membane potential</t>
  </si>
  <si>
    <t>membrane  potential</t>
  </si>
  <si>
    <r>
      <t>p</t>
    </r>
    <r>
      <rPr>
        <i/>
        <vertAlign val="superscript"/>
        <sz val="10"/>
        <color indexed="10"/>
        <rFont val="ＭＳ Ｐゴシック"/>
        <family val="3"/>
      </rPr>
      <t>*</t>
    </r>
  </si>
  <si>
    <r>
      <t xml:space="preserve">Adjust </t>
    </r>
    <r>
      <rPr>
        <i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  <r>
      <rPr>
        <i/>
        <sz val="10"/>
        <color indexed="10"/>
        <rFont val="ＭＳ Ｐゴシック"/>
        <family val="3"/>
      </rPr>
      <t xml:space="preserve"> </t>
    </r>
    <r>
      <rPr>
        <sz val="10"/>
        <color indexed="10"/>
        <rFont val="ＭＳ Ｐゴシック"/>
        <family val="3"/>
      </rPr>
      <t>to realize A = 0  Decision point 2</t>
    </r>
  </si>
  <si>
    <t>Slot and duct specifications in a desalting cell</t>
  </si>
  <si>
    <t>Slot and duct specifications in a concentrating cell</t>
  </si>
  <si>
    <t>Linear velocity in an inlet slot</t>
  </si>
  <si>
    <t>Linear velocity in an outlet slot</t>
  </si>
  <si>
    <r>
      <t>d'</t>
    </r>
    <r>
      <rPr>
        <i/>
        <vertAlign val="subscript"/>
        <sz val="10"/>
        <rFont val="ＭＳ Ｐゴシック"/>
        <family val="3"/>
      </rPr>
      <t>H,slot</t>
    </r>
  </si>
  <si>
    <r>
      <t>u'</t>
    </r>
    <r>
      <rPr>
        <i/>
        <vertAlign val="subscript"/>
        <sz val="10"/>
        <rFont val="ＭＳ Ｐゴシック"/>
        <family val="3"/>
      </rPr>
      <t>slot,in</t>
    </r>
  </si>
  <si>
    <r>
      <t>u'</t>
    </r>
    <r>
      <rPr>
        <i/>
        <vertAlign val="subscript"/>
        <sz val="10"/>
        <rFont val="ＭＳ Ｐゴシック"/>
        <family val="3"/>
      </rPr>
      <t>slot,out</t>
    </r>
  </si>
  <si>
    <r>
      <t>d"</t>
    </r>
    <r>
      <rPr>
        <i/>
        <vertAlign val="subscript"/>
        <sz val="10"/>
        <rFont val="ＭＳ Ｐゴシック"/>
        <family val="3"/>
      </rPr>
      <t>H,slot</t>
    </r>
  </si>
  <si>
    <r>
      <t>u"</t>
    </r>
    <r>
      <rPr>
        <i/>
        <vertAlign val="subscript"/>
        <sz val="10"/>
        <rFont val="ＭＳ Ｐゴシック"/>
        <family val="3"/>
      </rPr>
      <t>slot,in</t>
    </r>
  </si>
  <si>
    <r>
      <t>u"</t>
    </r>
    <r>
      <rPr>
        <i/>
        <vertAlign val="subscript"/>
        <sz val="10"/>
        <rFont val="ＭＳ Ｐゴシック"/>
        <family val="3"/>
      </rPr>
      <t>slot,out</t>
    </r>
  </si>
  <si>
    <t xml:space="preserve">   Diluate concentration, Concentrate concentration,  Ion flux, Volume flux, Current efficiency, Linear velocity in desalting cells, Linear velocity in concentrating cells, Desalting ratio. </t>
  </si>
  <si>
    <t>pairs</t>
  </si>
  <si>
    <r>
      <t xml:space="preserve">(1) Pressure difference </t>
    </r>
    <r>
      <rPr>
        <sz val="10"/>
        <rFont val="ＭＳ Ｐゴシック"/>
        <family val="3"/>
      </rPr>
      <t>in desalting cells</t>
    </r>
  </si>
  <si>
    <t>(4) Pressure difference in concentrating cells</t>
  </si>
  <si>
    <r>
      <t>C'</t>
    </r>
    <r>
      <rPr>
        <vertAlign val="subscript"/>
        <sz val="10"/>
        <color indexed="10"/>
        <rFont val="ＭＳ Ｐゴシック"/>
        <family val="3"/>
      </rPr>
      <t>out</t>
    </r>
    <r>
      <rPr>
        <vertAlign val="superscript"/>
        <sz val="10"/>
        <color indexed="10"/>
        <rFont val="ＭＳ Ｐゴシック"/>
        <family val="3"/>
      </rPr>
      <t>#</t>
    </r>
  </si>
  <si>
    <r>
      <t>ζ</t>
    </r>
    <r>
      <rPr>
        <vertAlign val="subscript"/>
        <sz val="10"/>
        <color indexed="10"/>
        <rFont val="ＭＳ Ｐゴシック"/>
        <family val="3"/>
      </rPr>
      <t>inout</t>
    </r>
    <r>
      <rPr>
        <sz val="10"/>
        <color indexed="10"/>
        <rFont val="ＭＳ Ｐゴシック"/>
        <family val="3"/>
      </rPr>
      <t>-</t>
    </r>
    <r>
      <rPr>
        <i/>
        <sz val="10"/>
        <color indexed="10"/>
        <rFont val="ＭＳ Ｐゴシック"/>
        <family val="3"/>
      </rPr>
      <t>ζ</t>
    </r>
    <r>
      <rPr>
        <vertAlign val="subscript"/>
        <sz val="10"/>
        <color indexed="10"/>
        <rFont val="ＭＳ Ｐゴシック"/>
        <family val="3"/>
      </rPr>
      <t xml:space="preserve">inp </t>
    </r>
    <r>
      <rPr>
        <sz val="10"/>
        <color indexed="10"/>
        <rFont val="ＭＳ Ｐゴシック"/>
        <family val="3"/>
      </rPr>
      <t>=</t>
    </r>
  </si>
  <si>
    <t xml:space="preserve">Companion site 1  </t>
  </si>
  <si>
    <t xml:space="preserve">Number of cell pairs  Input </t>
  </si>
  <si>
    <t xml:space="preserve">Flow-pass thickness  Input </t>
  </si>
  <si>
    <t xml:space="preserve">Flow-pass width  Input </t>
  </si>
  <si>
    <t xml:space="preserve">Flow-pass length  Input </t>
  </si>
  <si>
    <t xml:space="preserve">Temperature  Input </t>
  </si>
  <si>
    <t>Distance between spacer rods  Input</t>
  </si>
  <si>
    <t>Crossing angle of spacer rods  Input</t>
  </si>
  <si>
    <t xml:space="preserve">Spacer rod volume ratio  </t>
  </si>
  <si>
    <t>Number of slots and ducts at an inlet or an outlet  Input</t>
  </si>
  <si>
    <r>
      <t>l</t>
    </r>
    <r>
      <rPr>
        <vertAlign val="subscript"/>
        <sz val="10"/>
        <color indexed="8"/>
        <rFont val="ＭＳ Ｐゴシック"/>
        <family val="3"/>
      </rPr>
      <t>1</t>
    </r>
  </si>
  <si>
    <r>
      <t>m</t>
    </r>
    <r>
      <rPr>
        <vertAlign val="subscript"/>
        <sz val="10"/>
        <color indexed="8"/>
        <rFont val="ＭＳ Ｐゴシック"/>
        <family val="3"/>
      </rPr>
      <t>1</t>
    </r>
  </si>
  <si>
    <r>
      <t>l</t>
    </r>
    <r>
      <rPr>
        <vertAlign val="subscript"/>
        <sz val="10"/>
        <color indexed="8"/>
        <rFont val="ＭＳ Ｐゴシック"/>
        <family val="3"/>
      </rPr>
      <t>2</t>
    </r>
  </si>
  <si>
    <r>
      <t>m</t>
    </r>
    <r>
      <rPr>
        <vertAlign val="subscript"/>
        <sz val="10"/>
        <color indexed="8"/>
        <rFont val="ＭＳ Ｐゴシック"/>
        <family val="3"/>
      </rPr>
      <t>2</t>
    </r>
  </si>
  <si>
    <r>
      <t>l</t>
    </r>
    <r>
      <rPr>
        <vertAlign val="subscript"/>
        <sz val="10"/>
        <color indexed="8"/>
        <rFont val="ＭＳ Ｐゴシック"/>
        <family val="3"/>
      </rPr>
      <t>3</t>
    </r>
  </si>
  <si>
    <r>
      <t>n</t>
    </r>
    <r>
      <rPr>
        <vertAlign val="subscript"/>
        <sz val="10"/>
        <color indexed="8"/>
        <rFont val="ＭＳ Ｐゴシック"/>
        <family val="3"/>
      </rPr>
      <t>1</t>
    </r>
  </si>
  <si>
    <r>
      <t>n</t>
    </r>
    <r>
      <rPr>
        <vertAlign val="subscript"/>
        <sz val="10"/>
        <color indexed="8"/>
        <rFont val="ＭＳ Ｐゴシック"/>
        <family val="3"/>
      </rPr>
      <t>2</t>
    </r>
  </si>
  <si>
    <t>ρ</t>
  </si>
  <si>
    <r>
      <t>cm</t>
    </r>
    <r>
      <rPr>
        <vertAlign val="superscript"/>
        <sz val="10"/>
        <color indexed="12"/>
        <rFont val="ＭＳ Ｐゴシック"/>
        <family val="3"/>
      </rPr>
      <t>4</t>
    </r>
    <r>
      <rPr>
        <sz val="10"/>
        <color indexed="12"/>
        <rFont val="ＭＳ Ｐゴシック"/>
        <family val="3"/>
      </rPr>
      <t>/eq・s</t>
    </r>
  </si>
  <si>
    <t>λ</t>
  </si>
  <si>
    <t>eq/A・s</t>
  </si>
  <si>
    <t>μ</t>
  </si>
  <si>
    <t>φ</t>
  </si>
  <si>
    <r>
      <t>cm</t>
    </r>
    <r>
      <rPr>
        <vertAlign val="super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/A・s</t>
    </r>
  </si>
  <si>
    <r>
      <t>t</t>
    </r>
    <r>
      <rPr>
        <vertAlign val="subscript"/>
        <sz val="10"/>
        <color indexed="12"/>
        <rFont val="ＭＳ Ｐゴシック"/>
        <family val="3"/>
      </rPr>
      <t>K</t>
    </r>
    <r>
      <rPr>
        <sz val="10"/>
        <color indexed="12"/>
        <rFont val="ＭＳ Ｐゴシック"/>
        <family val="3"/>
      </rPr>
      <t>+</t>
    </r>
    <r>
      <rPr>
        <i/>
        <sz val="10"/>
        <color indexed="12"/>
        <rFont val="ＭＳ Ｐゴシック"/>
        <family val="3"/>
      </rPr>
      <t>t</t>
    </r>
    <r>
      <rPr>
        <vertAlign val="subscript"/>
        <sz val="10"/>
        <color indexed="12"/>
        <rFont val="ＭＳ Ｐゴシック"/>
        <family val="3"/>
      </rPr>
      <t>A</t>
    </r>
  </si>
  <si>
    <t>Alternating current electric resistance of a membrane pair</t>
  </si>
  <si>
    <r>
      <t>r</t>
    </r>
    <r>
      <rPr>
        <vertAlign val="subscript"/>
        <sz val="10"/>
        <color indexed="12"/>
        <rFont val="ＭＳ Ｐゴシック"/>
        <family val="3"/>
      </rPr>
      <t>alter</t>
    </r>
  </si>
  <si>
    <r>
      <t>Ωcm</t>
    </r>
    <r>
      <rPr>
        <vertAlign val="superscript"/>
        <sz val="10"/>
        <color indexed="12"/>
        <rFont val="ＭＳ Ｐゴシック"/>
        <family val="3"/>
      </rPr>
      <t>2</t>
    </r>
  </si>
  <si>
    <r>
      <t>C'</t>
    </r>
    <r>
      <rPr>
        <vertAlign val="subscript"/>
        <sz val="10"/>
        <color indexed="12"/>
        <rFont val="ＭＳ Ｐゴシック"/>
        <family val="3"/>
      </rPr>
      <t>out</t>
    </r>
  </si>
  <si>
    <r>
      <t>eq/dm</t>
    </r>
    <r>
      <rPr>
        <vertAlign val="superscript"/>
        <sz val="10"/>
        <color indexed="12"/>
        <rFont val="ＭＳ Ｐゴシック"/>
        <family val="3"/>
      </rPr>
      <t>3</t>
    </r>
  </si>
  <si>
    <r>
      <t>g/dm</t>
    </r>
    <r>
      <rPr>
        <vertAlign val="superscript"/>
        <sz val="10"/>
        <color indexed="12"/>
        <rFont val="ＭＳ Ｐゴシック"/>
        <family val="3"/>
      </rPr>
      <t>3</t>
    </r>
  </si>
  <si>
    <r>
      <t>J</t>
    </r>
    <r>
      <rPr>
        <vertAlign val="subscript"/>
        <sz val="10"/>
        <color indexed="12"/>
        <rFont val="ＭＳ Ｐゴシック"/>
        <family val="3"/>
      </rPr>
      <t>S</t>
    </r>
  </si>
  <si>
    <r>
      <t>eq/cm</t>
    </r>
    <r>
      <rPr>
        <vertAlign val="super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・s</t>
    </r>
  </si>
  <si>
    <t>Ion flux</t>
  </si>
  <si>
    <r>
      <t>J</t>
    </r>
    <r>
      <rPr>
        <i/>
        <vertAlign val="subscript"/>
        <sz val="10"/>
        <color indexed="12"/>
        <rFont val="ＭＳ Ｐゴシック"/>
        <family val="3"/>
      </rPr>
      <t>V</t>
    </r>
  </si>
  <si>
    <r>
      <t>cm</t>
    </r>
    <r>
      <rPr>
        <vertAlign val="super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/cm</t>
    </r>
    <r>
      <rPr>
        <vertAlign val="super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・s</t>
    </r>
  </si>
  <si>
    <t>Current efficiency</t>
  </si>
  <si>
    <r>
      <t>Q'</t>
    </r>
    <r>
      <rPr>
        <vertAlign val="subscript"/>
        <sz val="10"/>
        <color indexed="12"/>
        <rFont val="ＭＳ Ｐゴシック"/>
        <family val="3"/>
      </rPr>
      <t>out</t>
    </r>
  </si>
  <si>
    <r>
      <t>cm</t>
    </r>
    <r>
      <rPr>
        <vertAlign val="super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/s</t>
    </r>
  </si>
  <si>
    <t>r"</t>
  </si>
  <si>
    <r>
      <t>r</t>
    </r>
    <r>
      <rPr>
        <vertAlign val="subscript"/>
        <sz val="10"/>
        <color indexed="12"/>
        <rFont val="ＭＳ Ｐゴシック"/>
        <family val="3"/>
      </rPr>
      <t>in,memb</t>
    </r>
  </si>
  <si>
    <r>
      <t xml:space="preserve">Direct current electric resistance of a membrane pair at </t>
    </r>
    <r>
      <rPr>
        <i/>
        <sz val="10"/>
        <color indexed="12"/>
        <rFont val="ＭＳ Ｐゴシック"/>
        <family val="3"/>
      </rPr>
      <t xml:space="preserve">x </t>
    </r>
    <r>
      <rPr>
        <sz val="10"/>
        <color indexed="12"/>
        <rFont val="ＭＳ Ｐゴシック"/>
        <family val="3"/>
      </rPr>
      <t xml:space="preserve">= 0 </t>
    </r>
  </si>
  <si>
    <t>Current density</t>
  </si>
  <si>
    <t>Ohmic voltage</t>
  </si>
  <si>
    <t>Membr.potential</t>
  </si>
  <si>
    <t>Cell voltage</t>
  </si>
  <si>
    <r>
      <t>i</t>
    </r>
    <r>
      <rPr>
        <vertAlign val="subscript"/>
        <sz val="10"/>
        <color indexed="12"/>
        <rFont val="ＭＳ Ｐゴシック"/>
        <family val="3"/>
      </rPr>
      <t>out</t>
    </r>
  </si>
  <si>
    <r>
      <t>B</t>
    </r>
    <r>
      <rPr>
        <vertAlign val="subscript"/>
        <sz val="10"/>
        <color indexed="12"/>
        <rFont val="ＭＳ Ｐゴシック"/>
        <family val="3"/>
      </rPr>
      <t>1</t>
    </r>
    <r>
      <rPr>
        <i/>
        <sz val="10"/>
        <color indexed="12"/>
        <rFont val="ＭＳ Ｐゴシック"/>
        <family val="3"/>
      </rPr>
      <t>i</t>
    </r>
    <r>
      <rPr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</si>
  <si>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B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</si>
  <si>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V</t>
    </r>
    <r>
      <rPr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</si>
  <si>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i</t>
    </r>
    <r>
      <rPr>
        <vertAlign val="subscript"/>
        <sz val="10"/>
        <color indexed="12"/>
        <rFont val="ＭＳ Ｐゴシック"/>
        <family val="3"/>
      </rPr>
      <t>in</t>
    </r>
  </si>
  <si>
    <r>
      <t>A</t>
    </r>
    <r>
      <rPr>
        <vertAlign val="subscript"/>
        <sz val="10"/>
        <color indexed="12"/>
        <rFont val="ＭＳ Ｐゴシック"/>
        <family val="3"/>
      </rPr>
      <t>1</t>
    </r>
    <r>
      <rPr>
        <i/>
        <sz val="10"/>
        <color indexed="12"/>
        <rFont val="ＭＳ Ｐゴシック"/>
        <family val="3"/>
      </rPr>
      <t>i</t>
    </r>
    <r>
      <rPr>
        <vertAlign val="subscript"/>
        <sz val="10"/>
        <color indexed="12"/>
        <rFont val="ＭＳ Ｐゴシック"/>
        <family val="3"/>
      </rPr>
      <t>in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</si>
  <si>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A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</si>
  <si>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V</t>
    </r>
    <r>
      <rPr>
        <vertAlign val="subscript"/>
        <sz val="10"/>
        <color indexed="12"/>
        <rFont val="ＭＳ Ｐゴシック"/>
        <family val="3"/>
      </rPr>
      <t>in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</si>
  <si>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a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=(Z</t>
    </r>
    <r>
      <rPr>
        <vertAlign val="subscript"/>
        <sz val="10"/>
        <color indexed="12"/>
        <rFont val="ＭＳ Ｐゴシック"/>
        <family val="3"/>
      </rPr>
      <t>1</t>
    </r>
    <r>
      <rPr>
        <i/>
        <sz val="10"/>
        <color indexed="12"/>
        <rFont val="ＭＳ Ｐゴシック"/>
        <family val="3"/>
      </rPr>
      <t>ζ</t>
    </r>
    <r>
      <rPr>
        <i/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)(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</t>
    </r>
  </si>
  <si>
    <r>
      <t>a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=2[{3</t>
    </r>
  </si>
  <si>
    <r>
      <t>a</t>
    </r>
    <r>
      <rPr>
        <vertAlign val="sub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=-3[{2</t>
    </r>
  </si>
  <si>
    <r>
      <t>(a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+a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+a</t>
    </r>
    <r>
      <rPr>
        <vertAlign val="sub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)/(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</t>
    </r>
  </si>
  <si>
    <t>+Z2</t>
  </si>
  <si>
    <r>
      <t>-(2Z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+1)</t>
    </r>
    <r>
      <rPr>
        <i/>
        <sz val="10"/>
        <color indexed="12"/>
        <rFont val="ＭＳ Ｐゴシック"/>
        <family val="3"/>
      </rPr>
      <t>ζ</t>
    </r>
    <r>
      <rPr>
        <i/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}</t>
    </r>
  </si>
  <si>
    <r>
      <t>-(Z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+1)</t>
    </r>
    <r>
      <rPr>
        <i/>
        <sz val="10"/>
        <color indexed="12"/>
        <rFont val="ＭＳ Ｐゴシック"/>
        <family val="3"/>
      </rPr>
      <t>ζ</t>
    </r>
    <r>
      <rPr>
        <i/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}</t>
    </r>
  </si>
  <si>
    <r>
      <t>=ζ</t>
    </r>
    <r>
      <rPr>
        <vertAlign val="subscript"/>
        <sz val="10"/>
        <color indexed="12"/>
        <rFont val="ＭＳ Ｐゴシック"/>
        <family val="3"/>
      </rPr>
      <t>out</t>
    </r>
  </si>
  <si>
    <r>
      <t>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)-2Z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]</t>
    </r>
  </si>
  <si>
    <r>
      <t>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)-Z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]</t>
    </r>
  </si>
  <si>
    <r>
      <t>ΔP'</t>
    </r>
    <r>
      <rPr>
        <i/>
        <vertAlign val="subscript"/>
        <sz val="10"/>
        <color indexed="12"/>
        <rFont val="ＭＳ Ｐゴシック"/>
        <family val="3"/>
      </rPr>
      <t>slot</t>
    </r>
  </si>
  <si>
    <r>
      <t>dyne/cm</t>
    </r>
    <r>
      <rPr>
        <vertAlign val="superscript"/>
        <sz val="10"/>
        <color indexed="12"/>
        <rFont val="ＭＳ Ｐゴシック"/>
        <family val="3"/>
      </rPr>
      <t>2</t>
    </r>
  </si>
  <si>
    <r>
      <t>kgf/cm</t>
    </r>
    <r>
      <rPr>
        <vertAlign val="superscript"/>
        <sz val="10"/>
        <color indexed="12"/>
        <rFont val="ＭＳ Ｐゴシック"/>
        <family val="3"/>
      </rPr>
      <t>2</t>
    </r>
  </si>
  <si>
    <r>
      <t>ΔP'</t>
    </r>
    <r>
      <rPr>
        <i/>
        <vertAlign val="subscript"/>
        <sz val="10"/>
        <color indexed="12"/>
        <rFont val="ＭＳ Ｐゴシック"/>
        <family val="3"/>
      </rPr>
      <t>total</t>
    </r>
    <r>
      <rPr>
        <sz val="10"/>
        <color indexed="12"/>
        <rFont val="ＭＳ Ｐゴシック"/>
        <family val="3"/>
      </rPr>
      <t xml:space="preserve"> </t>
    </r>
  </si>
  <si>
    <r>
      <t>ΔP"</t>
    </r>
    <r>
      <rPr>
        <i/>
        <vertAlign val="subscript"/>
        <sz val="10"/>
        <color indexed="12"/>
        <rFont val="ＭＳ Ｐゴシック"/>
        <family val="3"/>
      </rPr>
      <t>cell</t>
    </r>
  </si>
  <si>
    <r>
      <t>ΔP"</t>
    </r>
    <r>
      <rPr>
        <i/>
        <vertAlign val="subscript"/>
        <sz val="10"/>
        <color indexed="12"/>
        <rFont val="ＭＳ Ｐゴシック"/>
        <family val="3"/>
      </rPr>
      <t>tota</t>
    </r>
    <r>
      <rPr>
        <vertAlign val="subscript"/>
        <sz val="10"/>
        <color indexed="12"/>
        <rFont val="ＭＳ Ｐゴシック"/>
        <family val="3"/>
      </rPr>
      <t>l</t>
    </r>
  </si>
  <si>
    <r>
      <t>u</t>
    </r>
    <r>
      <rPr>
        <vertAlign val="subscript"/>
        <sz val="10"/>
        <color indexed="12"/>
        <rFont val="ＭＳ Ｐゴシック"/>
        <family val="3"/>
      </rPr>
      <t>in</t>
    </r>
    <r>
      <rPr>
        <vertAlign val="superscript"/>
        <sz val="10"/>
        <color indexed="12"/>
        <rFont val="ＭＳ Ｐゴシック"/>
        <family val="3"/>
      </rPr>
      <t>#</t>
    </r>
  </si>
  <si>
    <t>Minimum velocity</t>
  </si>
  <si>
    <r>
      <t>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</t>
    </r>
    <r>
      <rPr>
        <vertAlign val="subscript"/>
        <sz val="10"/>
        <color indexed="12"/>
        <rFont val="ＭＳ Ｐゴシック"/>
        <family val="3"/>
      </rPr>
      <t>lim</t>
    </r>
  </si>
  <si>
    <r>
      <t>A/dm</t>
    </r>
    <r>
      <rPr>
        <vertAlign val="superscript"/>
        <sz val="10"/>
        <color indexed="12"/>
        <rFont val="ＭＳ Ｐゴシック"/>
        <family val="3"/>
      </rPr>
      <t>2</t>
    </r>
  </si>
  <si>
    <r>
      <t>Membrane pair direct current electric resistance at</t>
    </r>
    <r>
      <rPr>
        <i/>
        <sz val="10"/>
        <color indexed="12"/>
        <rFont val="ＭＳ Ｐゴシック"/>
        <family val="3"/>
      </rPr>
      <t xml:space="preserve"> x</t>
    </r>
    <r>
      <rPr>
        <sz val="10"/>
        <color indexed="12"/>
        <rFont val="ＭＳ Ｐゴシック"/>
        <family val="3"/>
      </rPr>
      <t xml:space="preserve"> = </t>
    </r>
    <r>
      <rPr>
        <i/>
        <sz val="10"/>
        <color indexed="12"/>
        <rFont val="ＭＳ Ｐゴシック"/>
        <family val="3"/>
      </rPr>
      <t xml:space="preserve">l </t>
    </r>
  </si>
  <si>
    <r>
      <t xml:space="preserve">Solution electric resistance at </t>
    </r>
    <r>
      <rPr>
        <i/>
        <sz val="10"/>
        <color indexed="12"/>
        <rFont val="ＭＳ Ｐゴシック"/>
        <family val="3"/>
      </rPr>
      <t>x</t>
    </r>
    <r>
      <rPr>
        <sz val="10"/>
        <color indexed="12"/>
        <rFont val="ＭＳ Ｐゴシック"/>
        <family val="3"/>
      </rPr>
      <t xml:space="preserve"> = </t>
    </r>
    <r>
      <rPr>
        <i/>
        <sz val="10"/>
        <color indexed="12"/>
        <rFont val="ＭＳ Ｐゴシック"/>
        <family val="3"/>
      </rPr>
      <t>l</t>
    </r>
    <r>
      <rPr>
        <sz val="10"/>
        <color indexed="12"/>
        <rFont val="ＭＳ Ｐゴシック"/>
        <family val="3"/>
      </rPr>
      <t xml:space="preserve"> in a desalting cell</t>
    </r>
  </si>
  <si>
    <r>
      <t xml:space="preserve">Energy consumption </t>
    </r>
    <r>
      <rPr>
        <i/>
        <sz val="10"/>
        <color indexed="12"/>
        <rFont val="ＭＳ Ｐゴシック"/>
        <family val="3"/>
      </rPr>
      <t>E</t>
    </r>
  </si>
  <si>
    <r>
      <t>kWh/m</t>
    </r>
    <r>
      <rPr>
        <vertAlign val="superscript"/>
        <sz val="10"/>
        <color indexed="12"/>
        <rFont val="ＭＳ Ｐゴシック"/>
        <family val="3"/>
      </rPr>
      <t>3</t>
    </r>
  </si>
  <si>
    <r>
      <t xml:space="preserve">Solution electric resistance at </t>
    </r>
    <r>
      <rPr>
        <i/>
        <sz val="10"/>
        <color indexed="12"/>
        <rFont val="ＭＳ Ｐゴシック"/>
        <family val="3"/>
      </rPr>
      <t>x</t>
    </r>
    <r>
      <rPr>
        <sz val="10"/>
        <color indexed="12"/>
        <rFont val="ＭＳ Ｐゴシック"/>
        <family val="3"/>
      </rPr>
      <t xml:space="preserve"> = </t>
    </r>
    <r>
      <rPr>
        <i/>
        <sz val="10"/>
        <color indexed="12"/>
        <rFont val="ＭＳ Ｐゴシック"/>
        <family val="3"/>
      </rPr>
      <t>pl</t>
    </r>
    <r>
      <rPr>
        <sz val="10"/>
        <color indexed="12"/>
        <rFont val="ＭＳ Ｐゴシック"/>
        <family val="3"/>
      </rPr>
      <t xml:space="preserve"> in a desalting cell</t>
    </r>
  </si>
  <si>
    <r>
      <t xml:space="preserve">Membrane pair direct current electric resistance at </t>
    </r>
    <r>
      <rPr>
        <i/>
        <sz val="10"/>
        <color indexed="12"/>
        <rFont val="ＭＳ Ｐゴシック"/>
        <family val="3"/>
      </rPr>
      <t>x</t>
    </r>
    <r>
      <rPr>
        <sz val="10"/>
        <color indexed="12"/>
        <rFont val="ＭＳ Ｐゴシック"/>
        <family val="3"/>
      </rPr>
      <t xml:space="preserve"> = </t>
    </r>
    <r>
      <rPr>
        <i/>
        <sz val="10"/>
        <color indexed="12"/>
        <rFont val="ＭＳ Ｐゴシック"/>
        <family val="3"/>
      </rPr>
      <t>pl</t>
    </r>
  </si>
  <si>
    <r>
      <t>a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/(I/S)</t>
    </r>
  </si>
  <si>
    <r>
      <t>=ζ</t>
    </r>
    <r>
      <rPr>
        <vertAlign val="subscript"/>
        <sz val="10"/>
        <color indexed="12"/>
        <rFont val="ＭＳ Ｐゴシック"/>
        <family val="3"/>
      </rPr>
      <t>in</t>
    </r>
  </si>
  <si>
    <r>
      <t>r'</t>
    </r>
    <r>
      <rPr>
        <vertAlign val="subscript"/>
        <sz val="10"/>
        <color indexed="12"/>
        <rFont val="ＭＳ Ｐゴシック"/>
        <family val="3"/>
      </rPr>
      <t>in</t>
    </r>
  </si>
  <si>
    <r>
      <t xml:space="preserve">Solution electric resistance at </t>
    </r>
    <r>
      <rPr>
        <i/>
        <sz val="10"/>
        <color indexed="12"/>
        <rFont val="ＭＳ Ｐゴシック"/>
        <family val="3"/>
      </rPr>
      <t>x</t>
    </r>
    <r>
      <rPr>
        <sz val="10"/>
        <color indexed="12"/>
        <rFont val="ＭＳ Ｐゴシック"/>
        <family val="3"/>
      </rPr>
      <t xml:space="preserve"> = 0</t>
    </r>
  </si>
  <si>
    <r>
      <t>C'</t>
    </r>
    <r>
      <rPr>
        <sz val="10"/>
        <color indexed="12"/>
        <rFont val="ＭＳ Ｐゴシック"/>
        <family val="3"/>
      </rPr>
      <t>=</t>
    </r>
    <r>
      <rPr>
        <i/>
        <sz val="10"/>
        <color indexed="12"/>
        <rFont val="ＭＳ Ｐゴシック"/>
        <family val="3"/>
      </rPr>
      <t>C'</t>
    </r>
    <r>
      <rPr>
        <vertAlign val="subscript"/>
        <sz val="10"/>
        <color indexed="12"/>
        <rFont val="ＭＳ Ｐゴシック"/>
        <family val="3"/>
      </rPr>
      <t>p</t>
    </r>
    <r>
      <rPr>
        <sz val="10"/>
        <color indexed="12"/>
        <rFont val="ＭＳ Ｐゴシック"/>
        <family val="3"/>
      </rPr>
      <t>=</t>
    </r>
  </si>
  <si>
    <t>Minimum concentration  Control key</t>
  </si>
  <si>
    <t>Salt concentration at the inlets of concentrating cells Input</t>
  </si>
  <si>
    <r>
      <t>ΔP'</t>
    </r>
    <r>
      <rPr>
        <i/>
        <vertAlign val="subscript"/>
        <sz val="10"/>
        <color indexed="12"/>
        <rFont val="ＭＳ Ｐゴシック"/>
        <family val="3"/>
      </rPr>
      <t>cell</t>
    </r>
  </si>
  <si>
    <t>σ</t>
  </si>
  <si>
    <t>-</t>
  </si>
  <si>
    <t xml:space="preserve">Standard deviation  Input </t>
  </si>
  <si>
    <r>
      <t>u'</t>
    </r>
    <r>
      <rPr>
        <i/>
        <vertAlign val="subscript"/>
        <sz val="10"/>
        <color indexed="20"/>
        <rFont val="ＭＳ Ｐゴシック"/>
        <family val="3"/>
      </rPr>
      <t>in</t>
    </r>
  </si>
  <si>
    <t>cm/s</t>
  </si>
  <si>
    <r>
      <t xml:space="preserve">Linear velocity at </t>
    </r>
    <r>
      <rPr>
        <i/>
        <sz val="10"/>
        <color indexed="20"/>
        <rFont val="ＭＳ Ｐゴシック"/>
        <family val="3"/>
      </rPr>
      <t>x</t>
    </r>
    <r>
      <rPr>
        <sz val="10"/>
        <color indexed="20"/>
        <rFont val="ＭＳ Ｐゴシック"/>
        <family val="3"/>
      </rPr>
      <t xml:space="preserve"> = 0  Input </t>
    </r>
  </si>
  <si>
    <r>
      <t>u"</t>
    </r>
    <r>
      <rPr>
        <i/>
        <vertAlign val="subscript"/>
        <sz val="10"/>
        <color indexed="20"/>
        <rFont val="ＭＳ Ｐゴシック"/>
        <family val="3"/>
      </rPr>
      <t>in</t>
    </r>
  </si>
  <si>
    <t xml:space="preserve">Linear velocity at x = 0  Input </t>
  </si>
  <si>
    <r>
      <t>C'</t>
    </r>
    <r>
      <rPr>
        <i/>
        <vertAlign val="subscript"/>
        <sz val="10"/>
        <color indexed="20"/>
        <rFont val="ＭＳ Ｐゴシック"/>
        <family val="3"/>
      </rPr>
      <t>in</t>
    </r>
  </si>
  <si>
    <r>
      <t>eq/cm</t>
    </r>
    <r>
      <rPr>
        <vertAlign val="superscript"/>
        <sz val="10"/>
        <color indexed="20"/>
        <rFont val="ＭＳ Ｐゴシック"/>
        <family val="3"/>
      </rPr>
      <t>3</t>
    </r>
  </si>
  <si>
    <t>Salt concentration at the inlets of desalting cells  Input</t>
  </si>
  <si>
    <r>
      <t>a'</t>
    </r>
    <r>
      <rPr>
        <sz val="10"/>
        <color indexed="20"/>
        <rFont val="ＭＳ Ｐゴシック"/>
        <family val="3"/>
      </rPr>
      <t>=</t>
    </r>
    <r>
      <rPr>
        <i/>
        <sz val="10"/>
        <color indexed="20"/>
        <rFont val="ＭＳ Ｐゴシック"/>
        <family val="3"/>
      </rPr>
      <t>a"</t>
    </r>
    <r>
      <rPr>
        <sz val="10"/>
        <color indexed="20"/>
        <rFont val="ＭＳ Ｐゴシック"/>
        <family val="3"/>
      </rPr>
      <t>=</t>
    </r>
    <r>
      <rPr>
        <i/>
        <sz val="10"/>
        <color indexed="20"/>
        <rFont val="ＭＳ Ｐゴシック"/>
        <family val="3"/>
      </rPr>
      <t>a</t>
    </r>
  </si>
  <si>
    <t>Slot flow-pass width  Input</t>
  </si>
  <si>
    <t>Slot flow-pass length  Input</t>
  </si>
  <si>
    <t>=3/π = 60°</t>
  </si>
  <si>
    <r>
      <t>C"</t>
    </r>
    <r>
      <rPr>
        <i/>
        <vertAlign val="subscript"/>
        <sz val="10"/>
        <color indexed="20"/>
        <rFont val="ＭＳ Ｐゴシック"/>
        <family val="3"/>
      </rPr>
      <t>in</t>
    </r>
  </si>
  <si>
    <r>
      <t>eq/cm</t>
    </r>
    <r>
      <rPr>
        <vertAlign val="superscript"/>
        <sz val="10"/>
        <color indexed="20"/>
        <rFont val="ＭＳ Ｐゴシック"/>
        <family val="3"/>
      </rPr>
      <t>3</t>
    </r>
  </si>
  <si>
    <t>I/S</t>
  </si>
  <si>
    <t xml:space="preserve">Current density  Input </t>
  </si>
  <si>
    <t>Solution electric resistance</t>
  </si>
  <si>
    <t>Constant current single-pass (continuous) electrodialysis</t>
  </si>
  <si>
    <t>Constant current single-pass (continuous) program</t>
  </si>
  <si>
    <r>
      <t>mg/dm</t>
    </r>
    <r>
      <rPr>
        <vertAlign val="superscript"/>
        <sz val="10"/>
        <rFont val="ＭＳ Ｐゴシック"/>
        <family val="3"/>
      </rPr>
      <t>3</t>
    </r>
  </si>
  <si>
    <r>
      <t>mg/dm</t>
    </r>
    <r>
      <rPr>
        <vertAlign val="superscript"/>
        <sz val="12"/>
        <rFont val="ＭＳ Ｐゴシック"/>
        <family val="3"/>
      </rPr>
      <t>3</t>
    </r>
  </si>
  <si>
    <r>
      <t>u'</t>
    </r>
    <r>
      <rPr>
        <i/>
        <vertAlign val="subscript"/>
        <sz val="12"/>
        <rFont val="ＭＳ Ｐゴシック"/>
        <family val="3"/>
      </rPr>
      <t>out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</si>
</sst>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.000E+00"/>
    <numFmt numFmtId="178" formatCode="0.000_ "/>
    <numFmt numFmtId="179" formatCode="0.0000_ "/>
    <numFmt numFmtId="180" formatCode="0.0000_);[Red]\(0.0000\)"/>
    <numFmt numFmtId="181" formatCode="0.000000_ "/>
    <numFmt numFmtId="182" formatCode="0.00000_ "/>
    <numFmt numFmtId="183" formatCode="0.0000E+00"/>
    <numFmt numFmtId="184" formatCode="0.00_ "/>
    <numFmt numFmtId="185" formatCode="0.0000000_ "/>
    <numFmt numFmtId="186" formatCode="0.0_ "/>
    <numFmt numFmtId="187" formatCode="0.000_);[Red]\(0.000\)"/>
    <numFmt numFmtId="188" formatCode="0.0_);[Red]\(0.0\)"/>
    <numFmt numFmtId="189" formatCode="0_ "/>
    <numFmt numFmtId="190" formatCode="&quot;\&quot;#,##0.0000;&quot;\&quot;\-#,##0.0000"/>
    <numFmt numFmtId="191" formatCode="#,##0.0000_ "/>
    <numFmt numFmtId="192" formatCode="0.00_);[Red]\(0.00\)"/>
    <numFmt numFmtId="193" formatCode="0.00000_);[Red]\(0.00000\)"/>
    <numFmt numFmtId="194" formatCode="0_);[Red]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0"/>
      <color indexed="12"/>
      <name val="ＭＳ Ｐゴシック"/>
      <family val="3"/>
    </font>
    <font>
      <b/>
      <vertAlign val="superscript"/>
      <sz val="10"/>
      <color indexed="12"/>
      <name val="ＭＳ Ｐゴシック"/>
      <family val="3"/>
    </font>
    <font>
      <b/>
      <i/>
      <vertAlign val="subscript"/>
      <sz val="10"/>
      <color indexed="12"/>
      <name val="ＭＳ Ｐゴシック"/>
      <family val="3"/>
    </font>
    <font>
      <b/>
      <sz val="12"/>
      <name val="ＭＳ Ｐゴシック"/>
      <family val="3"/>
    </font>
    <font>
      <b/>
      <i/>
      <sz val="12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i/>
      <sz val="12"/>
      <name val="ＭＳ Ｐゴシック"/>
      <family val="3"/>
    </font>
    <font>
      <b/>
      <vertAlign val="subscript"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i/>
      <vertAlign val="subscript"/>
      <sz val="12"/>
      <name val="ＭＳ Ｐゴシック"/>
      <family val="3"/>
    </font>
    <font>
      <i/>
      <sz val="10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i/>
      <sz val="10"/>
      <color indexed="8"/>
      <name val="ＭＳ Ｐゴシック"/>
      <family val="3"/>
    </font>
    <font>
      <i/>
      <vertAlign val="subscript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10"/>
      <name val="ＭＳ Ｐゴシック"/>
      <family val="3"/>
    </font>
    <font>
      <vertAlign val="subscript"/>
      <sz val="10"/>
      <color indexed="10"/>
      <name val="ＭＳ Ｐゴシック"/>
      <family val="3"/>
    </font>
    <font>
      <i/>
      <vertAlign val="subscript"/>
      <sz val="10"/>
      <color indexed="10"/>
      <name val="ＭＳ Ｐゴシック"/>
      <family val="3"/>
    </font>
    <font>
      <vertAlign val="superscript"/>
      <sz val="10"/>
      <color indexed="10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vertAlign val="superscript"/>
      <sz val="10"/>
      <name val="ＭＳ Ｐゴシック"/>
      <family val="3"/>
    </font>
    <font>
      <i/>
      <vertAlign val="subscript"/>
      <sz val="10"/>
      <name val="ＭＳ Ｐゴシック"/>
      <family val="3"/>
    </font>
    <font>
      <i/>
      <vertAlign val="superscript"/>
      <sz val="10"/>
      <color indexed="10"/>
      <name val="ＭＳ Ｐゴシック"/>
      <family val="3"/>
    </font>
    <font>
      <i/>
      <sz val="10"/>
      <color indexed="12"/>
      <name val="ＭＳ Ｐゴシック"/>
      <family val="3"/>
    </font>
    <font>
      <sz val="12"/>
      <name val="ＭＳ Ｐゴシック"/>
      <family val="3"/>
    </font>
    <font>
      <i/>
      <vertAlign val="superscript"/>
      <sz val="10"/>
      <name val="ＭＳ Ｐゴシック"/>
      <family val="3"/>
    </font>
    <font>
      <vertAlign val="subscript"/>
      <sz val="10"/>
      <color indexed="8"/>
      <name val="ＭＳ Ｐゴシック"/>
      <family val="3"/>
    </font>
    <font>
      <vertAlign val="subscript"/>
      <sz val="10"/>
      <color indexed="12"/>
      <name val="ＭＳ Ｐゴシック"/>
      <family val="3"/>
    </font>
    <font>
      <i/>
      <vertAlign val="subscript"/>
      <sz val="10"/>
      <color indexed="12"/>
      <name val="ＭＳ Ｐゴシック"/>
      <family val="3"/>
    </font>
    <font>
      <vertAlign val="superscript"/>
      <sz val="10"/>
      <color indexed="12"/>
      <name val="ＭＳ Ｐゴシック"/>
      <family val="3"/>
    </font>
    <font>
      <i/>
      <sz val="10"/>
      <color indexed="20"/>
      <name val="ＭＳ Ｐゴシック"/>
      <family val="3"/>
    </font>
    <font>
      <sz val="10"/>
      <color indexed="20"/>
      <name val="ＭＳ Ｐゴシック"/>
      <family val="3"/>
    </font>
    <font>
      <vertAlign val="superscript"/>
      <sz val="10"/>
      <color indexed="20"/>
      <name val="ＭＳ Ｐゴシック"/>
      <family val="3"/>
    </font>
    <font>
      <i/>
      <vertAlign val="subscript"/>
      <sz val="10"/>
      <color indexed="20"/>
      <name val="ＭＳ Ｐゴシック"/>
      <family val="3"/>
    </font>
    <font>
      <sz val="12"/>
      <color indexed="14"/>
      <name val="ＭＳ Ｐゴシック"/>
      <family val="3"/>
    </font>
    <font>
      <sz val="12"/>
      <color indexed="8"/>
      <name val="ＭＳ Ｐゴシック"/>
      <family val="3"/>
    </font>
    <font>
      <i/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i/>
      <sz val="12"/>
      <name val="ＭＳ Ｐゴシック"/>
      <family val="3"/>
    </font>
    <font>
      <i/>
      <vertAlign val="subscript"/>
      <sz val="12"/>
      <name val="ＭＳ Ｐゴシック"/>
      <family val="3"/>
    </font>
    <font>
      <vertAlign val="superscript"/>
      <sz val="12"/>
      <name val="ＭＳ Ｐゴシック"/>
      <family val="3"/>
    </font>
    <font>
      <i/>
      <vertAlign val="subscript"/>
      <sz val="12"/>
      <color indexed="8"/>
      <name val="ＭＳ Ｐゴシック"/>
      <family val="3"/>
    </font>
    <font>
      <i/>
      <vertAlign val="superscript"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2" fontId="13" fillId="0" borderId="0" xfId="0" applyNumberFormat="1" applyFont="1" applyAlignment="1">
      <alignment/>
    </xf>
    <xf numFmtId="0" fontId="13" fillId="0" borderId="0" xfId="0" applyFont="1" applyAlignment="1" quotePrefix="1">
      <alignment/>
    </xf>
    <xf numFmtId="0" fontId="14" fillId="0" borderId="0" xfId="0" applyFont="1" applyAlignment="1">
      <alignment/>
    </xf>
    <xf numFmtId="189" fontId="10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7" fontId="23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0" fontId="29" fillId="0" borderId="0" xfId="0" applyFont="1" applyAlignment="1">
      <alignment/>
    </xf>
    <xf numFmtId="177" fontId="17" fillId="0" borderId="0" xfId="0" applyNumberFormat="1" applyFont="1" applyAlignment="1">
      <alignment/>
    </xf>
    <xf numFmtId="179" fontId="17" fillId="0" borderId="0" xfId="0" applyNumberFormat="1" applyFont="1" applyAlignment="1">
      <alignment/>
    </xf>
    <xf numFmtId="184" fontId="17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 quotePrefix="1">
      <alignment/>
    </xf>
    <xf numFmtId="182" fontId="17" fillId="0" borderId="0" xfId="0" applyNumberFormat="1" applyFont="1" applyAlignment="1">
      <alignment/>
    </xf>
    <xf numFmtId="178" fontId="17" fillId="0" borderId="0" xfId="0" applyNumberFormat="1" applyFont="1" applyAlignment="1">
      <alignment/>
    </xf>
    <xf numFmtId="178" fontId="21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0" fontId="21" fillId="0" borderId="0" xfId="0" applyFont="1" applyAlignment="1" quotePrefix="1">
      <alignment/>
    </xf>
    <xf numFmtId="182" fontId="21" fillId="0" borderId="0" xfId="0" applyNumberFormat="1" applyFont="1" applyAlignment="1">
      <alignment/>
    </xf>
    <xf numFmtId="0" fontId="33" fillId="0" borderId="0" xfId="0" applyFont="1" applyAlignment="1">
      <alignment/>
    </xf>
    <xf numFmtId="177" fontId="29" fillId="0" borderId="0" xfId="0" applyNumberFormat="1" applyFont="1" applyAlignment="1">
      <alignment/>
    </xf>
    <xf numFmtId="189" fontId="29" fillId="0" borderId="0" xfId="0" applyNumberFormat="1" applyFont="1" applyAlignment="1">
      <alignment/>
    </xf>
    <xf numFmtId="178" fontId="29" fillId="0" borderId="0" xfId="0" applyNumberFormat="1" applyFont="1" applyAlignment="1">
      <alignment/>
    </xf>
    <xf numFmtId="0" fontId="34" fillId="0" borderId="0" xfId="0" applyFont="1" applyAlignment="1">
      <alignment/>
    </xf>
    <xf numFmtId="0" fontId="16" fillId="0" borderId="0" xfId="0" applyFont="1" applyAlignment="1">
      <alignment horizontal="right"/>
    </xf>
    <xf numFmtId="0" fontId="23" fillId="0" borderId="0" xfId="0" applyFont="1" applyAlignment="1" quotePrefix="1">
      <alignment/>
    </xf>
    <xf numFmtId="184" fontId="21" fillId="0" borderId="0" xfId="0" applyNumberFormat="1" applyFont="1" applyAlignment="1">
      <alignment/>
    </xf>
    <xf numFmtId="179" fontId="23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 quotePrefix="1">
      <alignment horizontal="left"/>
    </xf>
    <xf numFmtId="0" fontId="17" fillId="0" borderId="0" xfId="0" applyFont="1" applyAlignment="1">
      <alignment horizontal="center"/>
    </xf>
    <xf numFmtId="182" fontId="23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7" fillId="0" borderId="0" xfId="0" applyFont="1" applyAlignment="1" quotePrefix="1">
      <alignment horizontal="right"/>
    </xf>
    <xf numFmtId="184" fontId="29" fillId="0" borderId="0" xfId="0" applyNumberFormat="1" applyFont="1" applyAlignment="1">
      <alignment/>
    </xf>
    <xf numFmtId="186" fontId="29" fillId="0" borderId="0" xfId="0" applyNumberFormat="1" applyFont="1" applyAlignment="1">
      <alignment/>
    </xf>
    <xf numFmtId="0" fontId="40" fillId="0" borderId="0" xfId="0" applyFont="1" applyAlignment="1">
      <alignment/>
    </xf>
    <xf numFmtId="177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79" fontId="41" fillId="0" borderId="0" xfId="0" applyNumberFormat="1" applyFont="1" applyAlignment="1">
      <alignment/>
    </xf>
    <xf numFmtId="187" fontId="21" fillId="0" borderId="0" xfId="0" applyNumberFormat="1" applyFont="1" applyAlignment="1">
      <alignment/>
    </xf>
    <xf numFmtId="187" fontId="17" fillId="0" borderId="0" xfId="0" applyNumberFormat="1" applyFont="1" applyAlignment="1">
      <alignment/>
    </xf>
    <xf numFmtId="184" fontId="41" fillId="0" borderId="0" xfId="0" applyNumberFormat="1" applyFont="1" applyAlignment="1">
      <alignment/>
    </xf>
    <xf numFmtId="189" fontId="41" fillId="0" borderId="0" xfId="0" applyNumberFormat="1" applyFont="1" applyAlignment="1">
      <alignment/>
    </xf>
    <xf numFmtId="179" fontId="29" fillId="0" borderId="0" xfId="0" applyNumberFormat="1" applyFont="1" applyAlignment="1">
      <alignment/>
    </xf>
    <xf numFmtId="189" fontId="17" fillId="0" borderId="0" xfId="0" applyNumberFormat="1" applyFont="1" applyAlignment="1">
      <alignment/>
    </xf>
    <xf numFmtId="189" fontId="21" fillId="0" borderId="0" xfId="0" applyNumberFormat="1" applyFont="1" applyAlignment="1">
      <alignment/>
    </xf>
    <xf numFmtId="181" fontId="1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4" fillId="0" borderId="0" xfId="0" applyFont="1" applyAlignment="1">
      <alignment/>
    </xf>
    <xf numFmtId="177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79" fontId="11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9" fontId="45" fillId="0" borderId="0" xfId="0" applyNumberFormat="1" applyFont="1" applyAlignment="1">
      <alignment/>
    </xf>
    <xf numFmtId="186" fontId="45" fillId="0" borderId="0" xfId="0" applyNumberFormat="1" applyFont="1" applyAlignment="1">
      <alignment/>
    </xf>
    <xf numFmtId="189" fontId="45" fillId="0" borderId="0" xfId="0" applyNumberFormat="1" applyFont="1" applyAlignment="1">
      <alignment/>
    </xf>
    <xf numFmtId="0" fontId="48" fillId="0" borderId="0" xfId="0" applyFont="1" applyAlignment="1">
      <alignment/>
    </xf>
    <xf numFmtId="189" fontId="34" fillId="0" borderId="0" xfId="0" applyNumberFormat="1" applyFont="1" applyAlignment="1">
      <alignment/>
    </xf>
    <xf numFmtId="186" fontId="34" fillId="0" borderId="0" xfId="0" applyNumberFormat="1" applyFont="1" applyAlignment="1">
      <alignment/>
    </xf>
    <xf numFmtId="177" fontId="34" fillId="0" borderId="0" xfId="0" applyNumberFormat="1" applyFont="1" applyAlignment="1">
      <alignment/>
    </xf>
    <xf numFmtId="182" fontId="34" fillId="0" borderId="0" xfId="0" applyNumberFormat="1" applyFont="1" applyAlignment="1">
      <alignment/>
    </xf>
    <xf numFmtId="179" fontId="34" fillId="0" borderId="0" xfId="0" applyNumberFormat="1" applyFont="1" applyAlignment="1">
      <alignment/>
    </xf>
    <xf numFmtId="179" fontId="46" fillId="0" borderId="0" xfId="0" applyNumberFormat="1" applyFont="1" applyAlignment="1">
      <alignment/>
    </xf>
    <xf numFmtId="178" fontId="45" fillId="0" borderId="0" xfId="0" applyNumberFormat="1" applyFont="1" applyAlignment="1">
      <alignment/>
    </xf>
    <xf numFmtId="177" fontId="45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91" fontId="21" fillId="0" borderId="0" xfId="0" applyNumberFormat="1" applyFont="1" applyAlignment="1">
      <alignment/>
    </xf>
    <xf numFmtId="182" fontId="29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Alignment="1" quotePrefix="1">
      <alignment horizontal="right"/>
    </xf>
    <xf numFmtId="0" fontId="29" fillId="0" borderId="0" xfId="0" applyFont="1" applyAlignment="1">
      <alignment horizontal="left"/>
    </xf>
    <xf numFmtId="186" fontId="41" fillId="0" borderId="0" xfId="0" applyNumberFormat="1" applyFont="1" applyAlignment="1">
      <alignment/>
    </xf>
    <xf numFmtId="179" fontId="41" fillId="0" borderId="0" xfId="0" applyNumberFormat="1" applyFont="1" applyAlignment="1">
      <alignment horizontal="right"/>
    </xf>
    <xf numFmtId="0" fontId="41" fillId="0" borderId="0" xfId="0" applyFont="1" applyAlignment="1" quotePrefix="1">
      <alignment/>
    </xf>
    <xf numFmtId="189" fontId="21" fillId="0" borderId="0" xfId="0" applyNumberFormat="1" applyFont="1" applyAlignment="1" quotePrefix="1">
      <alignment/>
    </xf>
    <xf numFmtId="178" fontId="34" fillId="0" borderId="0" xfId="0" applyNumberFormat="1" applyFont="1" applyAlignment="1">
      <alignment/>
    </xf>
    <xf numFmtId="183" fontId="23" fillId="0" borderId="0" xfId="0" applyNumberFormat="1" applyFont="1" applyAlignment="1">
      <alignment/>
    </xf>
    <xf numFmtId="181" fontId="23" fillId="0" borderId="0" xfId="0" applyNumberFormat="1" applyFont="1" applyAlignment="1">
      <alignment/>
    </xf>
    <xf numFmtId="181" fontId="29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93" fontId="29" fillId="0" borderId="0" xfId="0" applyNumberFormat="1" applyFont="1" applyAlignment="1">
      <alignment/>
    </xf>
    <xf numFmtId="193" fontId="17" fillId="0" borderId="0" xfId="0" applyNumberFormat="1" applyFont="1" applyAlignment="1">
      <alignment/>
    </xf>
    <xf numFmtId="193" fontId="21" fillId="0" borderId="0" xfId="0" applyNumberFormat="1" applyFont="1" applyAlignment="1">
      <alignment/>
    </xf>
    <xf numFmtId="192" fontId="29" fillId="0" borderId="0" xfId="0" applyNumberFormat="1" applyFont="1" applyAlignment="1">
      <alignment/>
    </xf>
    <xf numFmtId="192" fontId="17" fillId="0" borderId="0" xfId="0" applyNumberFormat="1" applyFont="1" applyAlignment="1">
      <alignment/>
    </xf>
    <xf numFmtId="192" fontId="21" fillId="0" borderId="0" xfId="0" applyNumberFormat="1" applyFont="1" applyAlignment="1">
      <alignment/>
    </xf>
    <xf numFmtId="194" fontId="29" fillId="0" borderId="0" xfId="0" applyNumberFormat="1" applyFont="1" applyAlignment="1">
      <alignment/>
    </xf>
    <xf numFmtId="194" fontId="17" fillId="0" borderId="0" xfId="0" applyNumberFormat="1" applyFont="1" applyAlignment="1">
      <alignment/>
    </xf>
    <xf numFmtId="194" fontId="17" fillId="0" borderId="0" xfId="0" applyNumberFormat="1" applyFont="1" applyAlignment="1" quotePrefix="1">
      <alignment/>
    </xf>
    <xf numFmtId="194" fontId="16" fillId="0" borderId="0" xfId="0" applyNumberFormat="1" applyFont="1" applyAlignment="1">
      <alignment/>
    </xf>
    <xf numFmtId="194" fontId="21" fillId="0" borderId="0" xfId="0" applyNumberFormat="1" applyFont="1" applyAlignment="1">
      <alignment/>
    </xf>
    <xf numFmtId="178" fontId="41" fillId="0" borderId="0" xfId="0" applyNumberFormat="1" applyFont="1" applyAlignment="1">
      <alignment/>
    </xf>
    <xf numFmtId="183" fontId="29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3"/>
  <sheetViews>
    <sheetView tabSelected="1" view="pageBreakPreview" zoomScaleSheetLayoutView="100" workbookViewId="0" topLeftCell="A223">
      <selection activeCell="I232" sqref="I232"/>
    </sheetView>
  </sheetViews>
  <sheetFormatPr defaultColWidth="9.00390625" defaultRowHeight="13.5"/>
  <cols>
    <col min="1" max="1" width="3.625" style="1" customWidth="1"/>
    <col min="2" max="9" width="15.625" style="1" customWidth="1"/>
    <col min="10" max="11" width="12.625" style="1" customWidth="1"/>
    <col min="12" max="12" width="10.875" style="1" customWidth="1"/>
    <col min="13" max="16384" width="9.00390625" style="1" customWidth="1"/>
  </cols>
  <sheetData>
    <row r="2" spans="2:10" ht="14.25">
      <c r="B2" s="13" t="s">
        <v>293</v>
      </c>
      <c r="J2" s="21"/>
    </row>
    <row r="3" spans="2:11" ht="14.25">
      <c r="B3" s="13" t="s">
        <v>402</v>
      </c>
      <c r="I3" s="74" t="s">
        <v>209</v>
      </c>
      <c r="J3" s="12">
        <f>$C$15*100</f>
        <v>0.5</v>
      </c>
      <c r="K3" s="4" t="s">
        <v>14</v>
      </c>
    </row>
    <row r="4" spans="9:11" s="13" customFormat="1" ht="15">
      <c r="I4" s="74" t="s">
        <v>210</v>
      </c>
      <c r="J4" s="10">
        <f>$C$12</f>
        <v>1999.9872</v>
      </c>
      <c r="K4" s="4" t="s">
        <v>204</v>
      </c>
    </row>
    <row r="5" spans="6:11" ht="14.25" customHeight="1">
      <c r="F5" s="4"/>
      <c r="I5" s="74" t="s">
        <v>211</v>
      </c>
      <c r="J5" s="113">
        <f>$I$10</f>
        <v>25</v>
      </c>
      <c r="K5" s="4" t="s">
        <v>15</v>
      </c>
    </row>
    <row r="6" spans="2:8" ht="14.25" customHeight="1">
      <c r="B6" s="13" t="s">
        <v>20</v>
      </c>
      <c r="F6" s="4"/>
      <c r="H6" s="4"/>
    </row>
    <row r="7" ht="12">
      <c r="B7" s="1" t="s">
        <v>167</v>
      </c>
    </row>
    <row r="8" spans="2:10" s="21" customFormat="1" ht="12">
      <c r="B8" s="62" t="s">
        <v>381</v>
      </c>
      <c r="C8" s="105">
        <v>0.1</v>
      </c>
      <c r="D8" s="64" t="s">
        <v>382</v>
      </c>
      <c r="E8" s="64" t="s">
        <v>383</v>
      </c>
      <c r="F8" s="64"/>
      <c r="G8" s="64"/>
      <c r="H8" s="20" t="s">
        <v>32</v>
      </c>
      <c r="I8" s="36">
        <v>8.314</v>
      </c>
      <c r="J8" s="21" t="s">
        <v>33</v>
      </c>
    </row>
    <row r="9" spans="2:10" s="21" customFormat="1" ht="13.5">
      <c r="B9" s="62" t="s">
        <v>384</v>
      </c>
      <c r="C9" s="105">
        <v>10</v>
      </c>
      <c r="D9" s="64" t="s">
        <v>385</v>
      </c>
      <c r="E9" s="64" t="s">
        <v>386</v>
      </c>
      <c r="F9" s="64"/>
      <c r="G9" s="64"/>
      <c r="H9" s="20" t="s">
        <v>7</v>
      </c>
      <c r="I9" s="32">
        <f>273.16+$I$10</f>
        <v>298.16</v>
      </c>
      <c r="J9" s="21" t="s">
        <v>34</v>
      </c>
    </row>
    <row r="10" spans="2:11" s="21" customFormat="1" ht="13.5">
      <c r="B10" s="62" t="s">
        <v>387</v>
      </c>
      <c r="C10" s="105">
        <v>1</v>
      </c>
      <c r="D10" s="64" t="s">
        <v>385</v>
      </c>
      <c r="E10" s="64" t="s">
        <v>388</v>
      </c>
      <c r="F10" s="64"/>
      <c r="G10" s="64"/>
      <c r="H10" s="62" t="s">
        <v>7</v>
      </c>
      <c r="I10" s="105">
        <v>25</v>
      </c>
      <c r="J10" s="64" t="s">
        <v>21</v>
      </c>
      <c r="K10" s="64" t="s">
        <v>298</v>
      </c>
    </row>
    <row r="11" spans="2:10" s="21" customFormat="1" ht="15">
      <c r="B11" s="62" t="s">
        <v>389</v>
      </c>
      <c r="C11" s="63">
        <v>3.456E-05</v>
      </c>
      <c r="D11" s="64" t="s">
        <v>390</v>
      </c>
      <c r="E11" s="64" t="s">
        <v>391</v>
      </c>
      <c r="F11" s="64"/>
      <c r="G11" s="64"/>
      <c r="H11" s="20" t="s">
        <v>8</v>
      </c>
      <c r="I11" s="71">
        <v>96485</v>
      </c>
      <c r="J11" s="21" t="s">
        <v>35</v>
      </c>
    </row>
    <row r="12" spans="2:10" s="21" customFormat="1" ht="14.25">
      <c r="B12" s="29"/>
      <c r="C12" s="61">
        <f>57.87*1000*1000*$C$11</f>
        <v>1999.9872</v>
      </c>
      <c r="D12" s="29" t="s">
        <v>249</v>
      </c>
      <c r="E12" s="29"/>
      <c r="H12" s="20" t="s">
        <v>9</v>
      </c>
      <c r="I12" s="73">
        <f>$I$8*$I$9/$I$11</f>
        <v>0.0256920997046173</v>
      </c>
      <c r="J12" s="21" t="s">
        <v>1</v>
      </c>
    </row>
    <row r="13" spans="2:10" s="21" customFormat="1" ht="15">
      <c r="B13" s="62" t="s">
        <v>396</v>
      </c>
      <c r="C13" s="63">
        <v>3.456E-05</v>
      </c>
      <c r="D13" s="64" t="s">
        <v>397</v>
      </c>
      <c r="E13" s="64" t="s">
        <v>379</v>
      </c>
      <c r="F13" s="64"/>
      <c r="G13" s="64"/>
      <c r="J13" s="29"/>
    </row>
    <row r="14" spans="3:5" s="21" customFormat="1" ht="14.25">
      <c r="C14" s="61">
        <f>57.87*1000*1000*$C$13</f>
        <v>1999.9872</v>
      </c>
      <c r="D14" s="29" t="s">
        <v>249</v>
      </c>
      <c r="E14" s="29"/>
    </row>
    <row r="15" spans="2:9" s="21" customFormat="1" ht="14.25">
      <c r="B15" s="41" t="s">
        <v>16</v>
      </c>
      <c r="C15" s="112">
        <v>0.005</v>
      </c>
      <c r="D15" s="29" t="s">
        <v>183</v>
      </c>
      <c r="E15" s="29" t="s">
        <v>399</v>
      </c>
      <c r="F15" s="25"/>
      <c r="G15" s="41" t="s">
        <v>310</v>
      </c>
      <c r="H15" s="42">
        <f>3.421*10^-3+3.333*10^-4*$I$10</f>
        <v>0.011753500000000002</v>
      </c>
      <c r="I15" s="29" t="s">
        <v>311</v>
      </c>
    </row>
    <row r="16" spans="2:9" s="21" customFormat="1" ht="12">
      <c r="B16" s="22" t="s">
        <v>239</v>
      </c>
      <c r="C16" s="72">
        <f>$C$18</f>
        <v>300</v>
      </c>
      <c r="D16" s="23" t="s">
        <v>240</v>
      </c>
      <c r="E16" s="23" t="s">
        <v>241</v>
      </c>
      <c r="F16" s="23"/>
      <c r="G16" s="41" t="s">
        <v>312</v>
      </c>
      <c r="H16" s="42">
        <f>9.208*10^-6+1.914*10^-5*$H$15</f>
        <v>9.43296199E-06</v>
      </c>
      <c r="I16" s="29" t="s">
        <v>313</v>
      </c>
    </row>
    <row r="17" spans="2:9" s="21" customFormat="1" ht="12">
      <c r="B17" s="20" t="s">
        <v>170</v>
      </c>
      <c r="C17" s="71">
        <f>$C$16+1</f>
        <v>301</v>
      </c>
      <c r="D17" s="21" t="s">
        <v>36</v>
      </c>
      <c r="E17" s="21" t="s">
        <v>22</v>
      </c>
      <c r="G17" s="41" t="s">
        <v>314</v>
      </c>
      <c r="H17" s="42">
        <f>2.005*10^-4*$H$15</f>
        <v>2.35657675E-06</v>
      </c>
      <c r="I17" s="29" t="s">
        <v>3</v>
      </c>
    </row>
    <row r="18" spans="2:9" s="21" customFormat="1" ht="14.25">
      <c r="B18" s="62" t="s">
        <v>198</v>
      </c>
      <c r="C18" s="69">
        <v>300</v>
      </c>
      <c r="D18" s="64" t="s">
        <v>288</v>
      </c>
      <c r="E18" s="64" t="s">
        <v>294</v>
      </c>
      <c r="F18" s="64"/>
      <c r="G18" s="41" t="s">
        <v>315</v>
      </c>
      <c r="H18" s="42">
        <f>3.768*10^-3*$H$15^0.2-1.019*10^-2*$H$15</f>
        <v>0.0014295632839597893</v>
      </c>
      <c r="I18" s="29" t="s">
        <v>316</v>
      </c>
    </row>
    <row r="19" spans="2:9" s="21" customFormat="1" ht="13.5">
      <c r="B19" s="62" t="s">
        <v>392</v>
      </c>
      <c r="C19" s="125">
        <v>0.05</v>
      </c>
      <c r="D19" s="64" t="s">
        <v>13</v>
      </c>
      <c r="E19" s="64" t="s">
        <v>295</v>
      </c>
      <c r="F19" s="64"/>
      <c r="G19" s="41" t="s">
        <v>317</v>
      </c>
      <c r="H19" s="70">
        <f>$H$16*$I$11+1</f>
        <v>1.91013933760515</v>
      </c>
      <c r="I19" s="29" t="s">
        <v>2</v>
      </c>
    </row>
    <row r="20" spans="2:9" s="21" customFormat="1" ht="12">
      <c r="B20" s="62" t="s">
        <v>5</v>
      </c>
      <c r="C20" s="69">
        <v>100</v>
      </c>
      <c r="D20" s="64" t="s">
        <v>13</v>
      </c>
      <c r="E20" s="64" t="s">
        <v>296</v>
      </c>
      <c r="F20" s="64"/>
      <c r="G20" s="29" t="s">
        <v>318</v>
      </c>
      <c r="H20" s="29"/>
      <c r="I20" s="29"/>
    </row>
    <row r="21" spans="2:9" s="21" customFormat="1" ht="15">
      <c r="B21" s="62" t="s">
        <v>4</v>
      </c>
      <c r="C21" s="69">
        <v>100</v>
      </c>
      <c r="D21" s="64" t="s">
        <v>13</v>
      </c>
      <c r="E21" s="64" t="s">
        <v>297</v>
      </c>
      <c r="F21" s="64"/>
      <c r="G21" s="41" t="s">
        <v>319</v>
      </c>
      <c r="H21" s="70">
        <f>1.2323*$H$15^-(1/3)</f>
        <v>5.419934580882536</v>
      </c>
      <c r="I21" s="29" t="s">
        <v>320</v>
      </c>
    </row>
    <row r="22" spans="2:5" s="21" customFormat="1" ht="14.25">
      <c r="B22" s="20" t="s">
        <v>0</v>
      </c>
      <c r="C22" s="71">
        <f>$C$21*$C$20</f>
        <v>10000</v>
      </c>
      <c r="D22" s="21" t="s">
        <v>38</v>
      </c>
      <c r="E22" s="21" t="s">
        <v>39</v>
      </c>
    </row>
    <row r="23" spans="2:7" s="21" customFormat="1" ht="12">
      <c r="B23" s="62" t="s">
        <v>171</v>
      </c>
      <c r="C23" s="68">
        <v>0.3</v>
      </c>
      <c r="D23" s="64" t="s">
        <v>13</v>
      </c>
      <c r="E23" s="64" t="s">
        <v>299</v>
      </c>
      <c r="F23" s="64"/>
      <c r="G23" s="35"/>
    </row>
    <row r="24" spans="2:7" s="21" customFormat="1" ht="12">
      <c r="B24" s="62" t="s">
        <v>172</v>
      </c>
      <c r="C24" s="106">
        <f>3.14159/3</f>
        <v>1.0471966666666666</v>
      </c>
      <c r="D24" s="107" t="s">
        <v>395</v>
      </c>
      <c r="E24" s="64" t="s">
        <v>300</v>
      </c>
      <c r="F24" s="64"/>
      <c r="G24" s="35"/>
    </row>
    <row r="25" spans="2:7" s="21" customFormat="1" ht="12">
      <c r="B25" s="22" t="s">
        <v>6</v>
      </c>
      <c r="C25" s="40">
        <f>(3.14159*$C$19)/(8*$C$23*SIN($C$24))</f>
        <v>0.07557494826922562</v>
      </c>
      <c r="D25" s="23" t="s">
        <v>2</v>
      </c>
      <c r="E25" s="23" t="s">
        <v>301</v>
      </c>
      <c r="F25" s="29"/>
      <c r="G25" s="35"/>
    </row>
    <row r="26" spans="2:7" s="21" customFormat="1" ht="13.5">
      <c r="B26" s="20" t="s">
        <v>41</v>
      </c>
      <c r="C26" s="35">
        <f>(8-3.14159*($C$19/$C$23))/(4*($C$20^-1+$C$19^-1)+2*3.14159*(1-($C$19/(4*$C$20))/$C$23))</f>
        <v>0.0866120596613458</v>
      </c>
      <c r="D26" s="21" t="s">
        <v>13</v>
      </c>
      <c r="E26" s="21" t="s">
        <v>23</v>
      </c>
      <c r="G26" s="35"/>
    </row>
    <row r="27" spans="2:7" s="21" customFormat="1" ht="12">
      <c r="B27" s="20"/>
      <c r="C27" s="35"/>
      <c r="G27" s="35"/>
    </row>
    <row r="28" spans="2:5" s="21" customFormat="1" ht="12">
      <c r="B28" s="21" t="s">
        <v>277</v>
      </c>
      <c r="C28" s="35"/>
      <c r="E28" s="21" t="s">
        <v>278</v>
      </c>
    </row>
    <row r="29" spans="2:9" s="21" customFormat="1" ht="12">
      <c r="B29" s="62" t="s">
        <v>173</v>
      </c>
      <c r="C29" s="105">
        <v>4</v>
      </c>
      <c r="D29" s="64" t="s">
        <v>13</v>
      </c>
      <c r="E29" s="62" t="s">
        <v>176</v>
      </c>
      <c r="F29" s="105">
        <v>2</v>
      </c>
      <c r="G29" s="64" t="s">
        <v>13</v>
      </c>
      <c r="H29" s="64" t="s">
        <v>393</v>
      </c>
      <c r="I29" s="64"/>
    </row>
    <row r="30" spans="2:9" s="21" customFormat="1" ht="12">
      <c r="B30" s="62" t="s">
        <v>174</v>
      </c>
      <c r="C30" s="105">
        <v>4</v>
      </c>
      <c r="D30" s="64" t="s">
        <v>13</v>
      </c>
      <c r="E30" s="62" t="s">
        <v>177</v>
      </c>
      <c r="F30" s="105">
        <v>4</v>
      </c>
      <c r="G30" s="64" t="s">
        <v>13</v>
      </c>
      <c r="H30" s="64" t="s">
        <v>394</v>
      </c>
      <c r="I30" s="64"/>
    </row>
    <row r="31" spans="2:9" s="21" customFormat="1" ht="12">
      <c r="B31" s="62" t="s">
        <v>175</v>
      </c>
      <c r="C31" s="69">
        <v>5</v>
      </c>
      <c r="D31" s="64"/>
      <c r="E31" s="62" t="s">
        <v>178</v>
      </c>
      <c r="F31" s="69">
        <v>2</v>
      </c>
      <c r="G31" s="64"/>
      <c r="H31" s="64" t="s">
        <v>302</v>
      </c>
      <c r="I31" s="64"/>
    </row>
    <row r="32" spans="2:8" s="21" customFormat="1" ht="13.5">
      <c r="B32" s="20" t="s">
        <v>281</v>
      </c>
      <c r="C32" s="35">
        <f>(8-3.14159*($C$19/$C$23))/(4*($C$29^-1+$C$19^-1)+2*3.14159*(1-($C$19/(4*$C$29))/$C$23))</f>
        <v>0.08572112171238691</v>
      </c>
      <c r="D32" s="21" t="s">
        <v>13</v>
      </c>
      <c r="E32" s="20" t="s">
        <v>284</v>
      </c>
      <c r="F32" s="35">
        <f>(8-3.14159*($C$19/$C$23))/(4*($F$29^-1+$C$19^-1)+2*3.14159*(1-($C$19/(4*$F$29))/$C$23))</f>
        <v>0.08481234553806424</v>
      </c>
      <c r="G32" s="35" t="s">
        <v>13</v>
      </c>
      <c r="H32" s="21" t="s">
        <v>179</v>
      </c>
    </row>
    <row r="33" spans="2:8" s="21" customFormat="1" ht="13.5">
      <c r="B33" s="20" t="s">
        <v>282</v>
      </c>
      <c r="C33" s="32">
        <f>($C$20*$C$9)/($C$31*$C$29)</f>
        <v>50</v>
      </c>
      <c r="D33" s="21" t="s">
        <v>3</v>
      </c>
      <c r="E33" s="20" t="s">
        <v>285</v>
      </c>
      <c r="F33" s="32">
        <f>($C$20*$C$10)/($F$31*$F$29)</f>
        <v>25</v>
      </c>
      <c r="G33" s="21" t="s">
        <v>3</v>
      </c>
      <c r="H33" s="21" t="s">
        <v>279</v>
      </c>
    </row>
    <row r="34" spans="2:8" s="21" customFormat="1" ht="13.5">
      <c r="B34" s="20" t="s">
        <v>283</v>
      </c>
      <c r="C34" s="32">
        <f>($C$20*$C$54)/($C$31*$C$29)</f>
        <v>49.92176135076515</v>
      </c>
      <c r="D34" s="21" t="s">
        <v>3</v>
      </c>
      <c r="E34" s="20" t="s">
        <v>286</v>
      </c>
      <c r="F34" s="32">
        <f>($C$20*$C$57)/($F$31*$F$29)</f>
        <v>25.391193246174236</v>
      </c>
      <c r="G34" s="21" t="s">
        <v>3</v>
      </c>
      <c r="H34" s="21" t="s">
        <v>280</v>
      </c>
    </row>
    <row r="36" s="13" customFormat="1" ht="14.25">
      <c r="B36" s="13" t="s">
        <v>25</v>
      </c>
    </row>
    <row r="37" ht="12">
      <c r="B37" s="1" t="s">
        <v>287</v>
      </c>
    </row>
    <row r="38" spans="2:5" s="21" customFormat="1" ht="15">
      <c r="B38" s="41" t="s">
        <v>321</v>
      </c>
      <c r="C38" s="42">
        <f>$C$11-(($C$51*$C$21)/($C$19*$I$11))*$C$15/$C$55</f>
        <v>2.514584766132731E-05</v>
      </c>
      <c r="D38" s="29" t="s">
        <v>169</v>
      </c>
      <c r="E38" s="100"/>
    </row>
    <row r="39" spans="2:12" s="21" customFormat="1" ht="14.25">
      <c r="B39" s="41"/>
      <c r="C39" s="100">
        <f>$C$38*10^3</f>
        <v>0.02514584766132731</v>
      </c>
      <c r="D39" s="29" t="s">
        <v>322</v>
      </c>
      <c r="E39" s="29" t="s">
        <v>24</v>
      </c>
      <c r="J39" s="21" t="s">
        <v>244</v>
      </c>
      <c r="K39" s="30">
        <f>$H$18*$C$15+$H$17-$H$15*$C$42</f>
        <v>9.164539033348533E-06</v>
      </c>
      <c r="L39" s="23" t="s">
        <v>188</v>
      </c>
    </row>
    <row r="40" spans="2:12" s="21" customFormat="1" ht="14.25">
      <c r="B40" s="41"/>
      <c r="C40" s="44">
        <f>57.87*$C$39</f>
        <v>1.4551902041610114</v>
      </c>
      <c r="D40" s="29" t="s">
        <v>323</v>
      </c>
      <c r="E40" s="29"/>
      <c r="J40" s="21" t="s">
        <v>245</v>
      </c>
      <c r="K40" s="30">
        <f>$H$16*$C$15+$H$17*$C$42</f>
        <v>4.723295070435831E-08</v>
      </c>
      <c r="L40" s="21" t="s">
        <v>194</v>
      </c>
    </row>
    <row r="41" spans="2:12" s="21" customFormat="1" ht="14.25">
      <c r="B41" s="41"/>
      <c r="C41" s="44">
        <f>(($K$45^2+4*$K$44*$C$40)^0.5-$K$45)/(2*$K$44)</f>
        <v>1.4591909088627917</v>
      </c>
      <c r="D41" s="29" t="s">
        <v>45</v>
      </c>
      <c r="E41" s="29"/>
      <c r="J41" s="23" t="s">
        <v>246</v>
      </c>
      <c r="K41" s="37">
        <f>($C$21/$C$19)*$H$15*$B$195</f>
        <v>13.244549010000002</v>
      </c>
      <c r="L41" s="23" t="s">
        <v>37</v>
      </c>
    </row>
    <row r="42" spans="2:12" s="21" customFormat="1" ht="15">
      <c r="B42" s="26" t="s">
        <v>46</v>
      </c>
      <c r="C42" s="27">
        <f>$C$162</f>
        <v>2.8915143272252023E-05</v>
      </c>
      <c r="D42" s="25" t="s">
        <v>184</v>
      </c>
      <c r="E42" s="39"/>
      <c r="J42" s="23" t="s">
        <v>247</v>
      </c>
      <c r="K42" s="38">
        <f>($C$21/$C$19)*($H$18*$C$15-$H$15*($C$43-(1-$B$195)*$C$13))+$C$10</f>
        <v>1.0139704807058123</v>
      </c>
      <c r="L42" s="23" t="s">
        <v>3</v>
      </c>
    </row>
    <row r="43" spans="2:12" s="21" customFormat="1" ht="15">
      <c r="B43" s="26" t="s">
        <v>48</v>
      </c>
      <c r="C43" s="27">
        <v>2.892E-05</v>
      </c>
      <c r="D43" s="25" t="s">
        <v>184</v>
      </c>
      <c r="E43" s="25" t="s">
        <v>251</v>
      </c>
      <c r="H43" s="25"/>
      <c r="J43" s="23" t="s">
        <v>248</v>
      </c>
      <c r="K43" s="28">
        <f>$C$13*$C$10+($C$21/$C$19)*($H$16*$C$15-$H$17*($C$45-$C$43))</f>
        <v>0.00012861851931068</v>
      </c>
      <c r="L43" s="23" t="s">
        <v>47</v>
      </c>
    </row>
    <row r="44" spans="2:11" s="21" customFormat="1" ht="15">
      <c r="B44" s="26" t="s">
        <v>49</v>
      </c>
      <c r="C44" s="27">
        <f>$C$13+$B$195*($C$46-$C$13)</f>
        <v>8.643890957465766E-05</v>
      </c>
      <c r="D44" s="25" t="s">
        <v>184</v>
      </c>
      <c r="E44" s="25"/>
      <c r="H44" s="39"/>
      <c r="J44" s="21" t="s">
        <v>192</v>
      </c>
      <c r="K44" s="30">
        <f>(7.881-1.368*10^-2*$I$10+8.978*10^-5*$I$10^2)*10^-4</f>
        <v>0.0007595112500000001</v>
      </c>
    </row>
    <row r="45" spans="2:11" s="21" customFormat="1" ht="15">
      <c r="B45" s="26" t="s">
        <v>50</v>
      </c>
      <c r="C45" s="27">
        <v>8.644E-05</v>
      </c>
      <c r="D45" s="25" t="s">
        <v>184</v>
      </c>
      <c r="E45" s="25" t="s">
        <v>252</v>
      </c>
      <c r="H45" s="39"/>
      <c r="J45" s="21" t="s">
        <v>193</v>
      </c>
      <c r="K45" s="21">
        <f>1.001-1.101*10^-4*$I$10-3.356*10^-6*$I$10^2</f>
        <v>0.9961499999999999</v>
      </c>
    </row>
    <row r="46" spans="2:7" s="21" customFormat="1" ht="15">
      <c r="B46" s="20" t="s">
        <v>180</v>
      </c>
      <c r="C46" s="30">
        <f>(($K$42^2+4*$K$41*$K$43)^0.5-$K$42)/(2*$K$41)</f>
        <v>0.00012663693870517662</v>
      </c>
      <c r="D46" s="21" t="s">
        <v>42</v>
      </c>
      <c r="E46" s="108">
        <f>57.87*$C$46*10^6</f>
        <v>7328.47964286857</v>
      </c>
      <c r="F46" s="21" t="s">
        <v>403</v>
      </c>
      <c r="G46" s="21" t="s">
        <v>181</v>
      </c>
    </row>
    <row r="47" spans="2:7" s="21" customFormat="1" ht="15">
      <c r="B47" s="20" t="s">
        <v>195</v>
      </c>
      <c r="C47" s="30">
        <f>(($K$39^2+4*$H$15*$K$40)^0.5-$K$39)/(2*$H$15)</f>
        <v>0.0016523459918038772</v>
      </c>
      <c r="D47" s="21" t="s">
        <v>42</v>
      </c>
      <c r="E47" s="108">
        <f>57.87*$C$47*10^6</f>
        <v>95621.26254569036</v>
      </c>
      <c r="F47" s="21" t="s">
        <v>403</v>
      </c>
      <c r="G47" s="21" t="s">
        <v>196</v>
      </c>
    </row>
    <row r="48" spans="2:5" s="21" customFormat="1" ht="15">
      <c r="B48" s="41" t="s">
        <v>324</v>
      </c>
      <c r="C48" s="42">
        <f>$H$16*$C$15-$H$17*($C$44-$C$43)</f>
        <v>4.702926222501101E-08</v>
      </c>
      <c r="D48" s="29" t="s">
        <v>325</v>
      </c>
      <c r="E48" s="29" t="s">
        <v>326</v>
      </c>
    </row>
    <row r="49" spans="2:10" s="21" customFormat="1" ht="15">
      <c r="B49" s="41" t="s">
        <v>327</v>
      </c>
      <c r="C49" s="42">
        <f>$H$18*$C$15+$H$15*($C$44-$C$43)</f>
        <v>7.823864923484685E-06</v>
      </c>
      <c r="D49" s="29" t="s">
        <v>328</v>
      </c>
      <c r="E49" s="29" t="s">
        <v>242</v>
      </c>
      <c r="H49" s="25"/>
      <c r="I49" s="27"/>
      <c r="J49" s="25"/>
    </row>
    <row r="50" spans="2:10" s="21" customFormat="1" ht="14.25">
      <c r="B50" s="20" t="s">
        <v>10</v>
      </c>
      <c r="C50" s="35">
        <f>$C$20*$C$21*$C$49</f>
        <v>0.07823864923484686</v>
      </c>
      <c r="D50" s="21" t="s">
        <v>51</v>
      </c>
      <c r="E50" s="36">
        <f>$C$49*100*3600</f>
        <v>2.8165913724544867</v>
      </c>
      <c r="F50" s="21" t="s">
        <v>52</v>
      </c>
      <c r="G50" s="21" t="s">
        <v>53</v>
      </c>
      <c r="H50" s="25"/>
      <c r="I50" s="27"/>
      <c r="J50" s="25"/>
    </row>
    <row r="51" spans="2:6" s="23" customFormat="1" ht="12">
      <c r="B51" s="41" t="s">
        <v>221</v>
      </c>
      <c r="C51" s="70">
        <f>$I$11*$C$48/$C$15</f>
        <v>0.9075236731560373</v>
      </c>
      <c r="D51" s="29" t="s">
        <v>2</v>
      </c>
      <c r="E51" s="29" t="s">
        <v>329</v>
      </c>
      <c r="F51" s="21"/>
    </row>
    <row r="52" spans="2:6" s="23" customFormat="1" ht="15">
      <c r="B52" s="20" t="s">
        <v>54</v>
      </c>
      <c r="C52" s="32">
        <f>$C$19*$C$20*$C$9</f>
        <v>50</v>
      </c>
      <c r="D52" s="21" t="s">
        <v>51</v>
      </c>
      <c r="E52" s="21"/>
      <c r="F52" s="21"/>
    </row>
    <row r="53" spans="2:6" s="23" customFormat="1" ht="15">
      <c r="B53" s="41" t="s">
        <v>330</v>
      </c>
      <c r="C53" s="60">
        <f>$C$52-$C$50</f>
        <v>49.92176135076515</v>
      </c>
      <c r="D53" s="29" t="s">
        <v>331</v>
      </c>
      <c r="E53" s="29" t="s">
        <v>243</v>
      </c>
      <c r="F53" s="21"/>
    </row>
    <row r="54" spans="2:5" s="21" customFormat="1" ht="13.5">
      <c r="B54" s="20" t="s">
        <v>55</v>
      </c>
      <c r="C54" s="36">
        <f>$C$53/($C$19*$C$20)</f>
        <v>9.98435227015303</v>
      </c>
      <c r="D54" s="21" t="s">
        <v>3</v>
      </c>
      <c r="E54" s="21" t="s">
        <v>26</v>
      </c>
    </row>
    <row r="55" spans="2:4" s="21" customFormat="1" ht="13.5">
      <c r="B55" s="22" t="s">
        <v>56</v>
      </c>
      <c r="C55" s="37">
        <f>$C$9-$B$195*($C$50/($C$19*$C$20))</f>
        <v>9.991183599572322</v>
      </c>
      <c r="D55" s="21" t="s">
        <v>3</v>
      </c>
    </row>
    <row r="56" spans="2:5" s="21" customFormat="1" ht="13.5">
      <c r="B56" s="22" t="s">
        <v>57</v>
      </c>
      <c r="C56" s="37">
        <f>$C$9-($B$195/2)*($C$50/($C$19*$C$20))</f>
        <v>9.995591799786162</v>
      </c>
      <c r="D56" s="21" t="s">
        <v>3</v>
      </c>
      <c r="E56" s="25"/>
    </row>
    <row r="57" spans="2:5" s="21" customFormat="1" ht="13.5">
      <c r="B57" s="22" t="s">
        <v>58</v>
      </c>
      <c r="C57" s="37">
        <f>(($K$42^2+4*$K$41*$K$43)^0.5+$K$42)/2</f>
        <v>1.0156477298469695</v>
      </c>
      <c r="D57" s="23" t="s">
        <v>3</v>
      </c>
      <c r="E57" s="23" t="s">
        <v>27</v>
      </c>
    </row>
    <row r="58" spans="2:5" s="21" customFormat="1" ht="13.5">
      <c r="B58" s="22" t="s">
        <v>59</v>
      </c>
      <c r="C58" s="37">
        <f>$C$10+$B$195*($C$57-$C$10)</f>
        <v>1.008816400427678</v>
      </c>
      <c r="D58" s="23" t="s">
        <v>3</v>
      </c>
      <c r="E58" s="23"/>
    </row>
    <row r="59" spans="2:5" s="21" customFormat="1" ht="13.5">
      <c r="B59" s="22" t="s">
        <v>60</v>
      </c>
      <c r="C59" s="37">
        <f>$C$10+($B$195/2)*($C$57-$C$10)</f>
        <v>1.004408200213839</v>
      </c>
      <c r="D59" s="23" t="s">
        <v>3</v>
      </c>
      <c r="E59" s="23"/>
    </row>
    <row r="60" spans="2:4" s="21" customFormat="1" ht="15">
      <c r="B60" s="20" t="s">
        <v>61</v>
      </c>
      <c r="C60" s="36">
        <f>$C$19*$C$20*$C$10</f>
        <v>5</v>
      </c>
      <c r="D60" s="21" t="s">
        <v>51</v>
      </c>
    </row>
    <row r="61" spans="2:4" s="21" customFormat="1" ht="15">
      <c r="B61" s="20" t="s">
        <v>62</v>
      </c>
      <c r="C61" s="36">
        <f>$C$19*$C$20*$C$57</f>
        <v>5.078238649234848</v>
      </c>
      <c r="D61" s="21" t="s">
        <v>51</v>
      </c>
    </row>
    <row r="62" spans="2:5" s="21" customFormat="1" ht="12">
      <c r="B62" s="41" t="s">
        <v>12</v>
      </c>
      <c r="C62" s="70">
        <f>1-$C$38/$C$11</f>
        <v>0.27240024128103846</v>
      </c>
      <c r="D62" s="29" t="s">
        <v>2</v>
      </c>
      <c r="E62" s="29" t="s">
        <v>182</v>
      </c>
    </row>
    <row r="63" spans="2:5" s="21" customFormat="1" ht="12">
      <c r="B63" s="41" t="s">
        <v>19</v>
      </c>
      <c r="C63" s="70">
        <f>$C$53/($C$52+$C$60)</f>
        <v>0.90766838819573</v>
      </c>
      <c r="D63" s="29" t="s">
        <v>2</v>
      </c>
      <c r="E63" s="29" t="s">
        <v>63</v>
      </c>
    </row>
    <row r="64" s="21" customFormat="1" ht="12">
      <c r="H64" s="41"/>
    </row>
    <row r="65" spans="2:7" s="13" customFormat="1" ht="14.25">
      <c r="B65" s="13" t="s">
        <v>28</v>
      </c>
      <c r="E65" s="5"/>
      <c r="F65" s="10"/>
      <c r="G65" s="4"/>
    </row>
    <row r="66" spans="3:7" s="21" customFormat="1" ht="12">
      <c r="C66" s="46" t="s">
        <v>64</v>
      </c>
      <c r="D66" s="46" t="s">
        <v>65</v>
      </c>
      <c r="E66" s="50" t="s">
        <v>66</v>
      </c>
      <c r="F66" s="43"/>
      <c r="G66" s="29"/>
    </row>
    <row r="67" spans="3:10" s="21" customFormat="1" ht="12">
      <c r="C67" s="33" t="s">
        <v>67</v>
      </c>
      <c r="D67" s="33" t="s">
        <v>68</v>
      </c>
      <c r="E67" s="33" t="s">
        <v>69</v>
      </c>
      <c r="F67" s="43"/>
      <c r="G67" s="29"/>
      <c r="H67" s="41"/>
      <c r="I67" s="43"/>
      <c r="J67" s="29"/>
    </row>
    <row r="68" spans="2:10" s="21" customFormat="1" ht="15">
      <c r="B68" s="20" t="s">
        <v>70</v>
      </c>
      <c r="C68" s="30">
        <f>$C$13*1000</f>
        <v>0.03456</v>
      </c>
      <c r="D68" s="30">
        <f>$C$44*1000</f>
        <v>0.08643890957465766</v>
      </c>
      <c r="E68" s="28">
        <f>$C$46*1000</f>
        <v>0.12663693870517662</v>
      </c>
      <c r="F68" s="21" t="s">
        <v>43</v>
      </c>
      <c r="G68" s="29"/>
      <c r="I68" s="30"/>
      <c r="J68" s="29"/>
    </row>
    <row r="69" spans="2:10" s="21" customFormat="1" ht="15">
      <c r="B69" s="20" t="s">
        <v>71</v>
      </c>
      <c r="C69" s="36">
        <f>57.87*C$68</f>
        <v>1.9999871999999999</v>
      </c>
      <c r="D69" s="36">
        <f>57.87*D$68</f>
        <v>5.0022196970854385</v>
      </c>
      <c r="E69" s="36">
        <f>57.87*E$68</f>
        <v>7.328479642868571</v>
      </c>
      <c r="F69" s="21" t="s">
        <v>44</v>
      </c>
      <c r="G69" s="29"/>
      <c r="J69" s="29"/>
    </row>
    <row r="70" spans="2:10" s="21" customFormat="1" ht="13.5">
      <c r="B70" s="20" t="s">
        <v>72</v>
      </c>
      <c r="C70" s="36">
        <f>(($K$45^2+4*$K$44*C$69)^0.5-$K$45)/(2*$K$44)</f>
        <v>2.0046529165156968</v>
      </c>
      <c r="D70" s="36">
        <f>(($K$45^2+4*$K$44*D$69)^0.5-$K$45)/(2*$K$44)</f>
        <v>5.002472650836162</v>
      </c>
      <c r="E70" s="36">
        <f>(($K$45^2+4*$K$44*E$69)^0.5-$K$45)/(2*$K$44)</f>
        <v>7.315994313395821</v>
      </c>
      <c r="F70" s="21" t="s">
        <v>73</v>
      </c>
      <c r="G70" s="29"/>
      <c r="H70" s="41"/>
      <c r="I70" s="44"/>
      <c r="J70" s="29"/>
    </row>
    <row r="71" spans="2:10" s="21" customFormat="1" ht="12">
      <c r="B71" s="20" t="s">
        <v>74</v>
      </c>
      <c r="C71" s="28">
        <f>(0.9383+3.463*10^-2*$I$10)*10^-3*C$70-(1.655+3.863*10^-2*$I$10)*10^-6*C$70^2-(1.344+3.16*10^-2*$I$10)*10^-9*C$70^3</f>
        <v>0.0036059450693487326</v>
      </c>
      <c r="D71" s="28">
        <f>(0.9383+3.463*10^-2*$I$10)*10^-3*D$70-(1.655+3.863*10^-2*$I$10)*10^-6*D$70^2-(1.344+3.16*10^-2*$I$10)*10^-9*D$70^3</f>
        <v>0.008958860071777413</v>
      </c>
      <c r="E71" s="28">
        <f>(0.9383+3.463*10^-2*$I$10)*10^-3*E$70-(1.655+3.863*10^-2*$I$10)*10^-6*E$70^2-(1.344+3.16*10^-2*$I$10)*10^-9*E$70^3</f>
        <v>0.013057311482629291</v>
      </c>
      <c r="F71" s="21" t="s">
        <v>75</v>
      </c>
      <c r="G71" s="23" t="s">
        <v>76</v>
      </c>
      <c r="H71" s="41"/>
      <c r="I71" s="44"/>
      <c r="J71" s="29"/>
    </row>
    <row r="72" spans="2:10" s="21" customFormat="1" ht="14.25">
      <c r="B72" s="41" t="s">
        <v>332</v>
      </c>
      <c r="C72" s="44">
        <f>$C$19/((1-$C$25)*C$71)</f>
        <v>14.999583203861942</v>
      </c>
      <c r="D72" s="44">
        <f>$C$19/((1-$C$25)*D$71)</f>
        <v>6.0373387532462255</v>
      </c>
      <c r="E72" s="44">
        <f>$C$19/((1-$C$25)*E$71)</f>
        <v>4.142328470007568</v>
      </c>
      <c r="F72" s="29" t="s">
        <v>320</v>
      </c>
      <c r="G72" s="29" t="s">
        <v>400</v>
      </c>
      <c r="H72" s="41"/>
      <c r="I72" s="44"/>
      <c r="J72" s="29"/>
    </row>
    <row r="73" spans="2:7" s="21" customFormat="1" ht="12">
      <c r="B73" s="20" t="s">
        <v>77</v>
      </c>
      <c r="C73" s="38">
        <f>0.5927+0.4355*C$70^-0.5-7.201*10^-5*C$70+3.503*10^-6*C$70^2</f>
        <v>0.9001571386371167</v>
      </c>
      <c r="D73" s="38">
        <f>0.5927+0.4355*D$70^-0.5-7.201*10^-5*D$70+3.503*10^-6*D$70^2</f>
        <v>0.787140814553513</v>
      </c>
      <c r="E73" s="38">
        <f>0.5927+0.4355*E$70^-0.5-7.201*10^-5*E$70+3.503*10^-6*E$70^2</f>
        <v>0.7533701610097587</v>
      </c>
      <c r="F73" s="21" t="s">
        <v>2</v>
      </c>
      <c r="G73" s="21" t="s">
        <v>78</v>
      </c>
    </row>
    <row r="74" s="45" customFormat="1" ht="14.25"/>
    <row r="75" s="13" customFormat="1" ht="14.25">
      <c r="B75" s="13" t="s">
        <v>29</v>
      </c>
    </row>
    <row r="76" s="45" customFormat="1" ht="14.25">
      <c r="B76" s="21" t="s">
        <v>79</v>
      </c>
    </row>
    <row r="77" spans="2:4" s="21" customFormat="1" ht="15">
      <c r="B77" s="20" t="s">
        <v>80</v>
      </c>
      <c r="C77" s="35">
        <f>$C$11*10^3</f>
        <v>0.03456</v>
      </c>
      <c r="D77" s="21" t="s">
        <v>43</v>
      </c>
    </row>
    <row r="78" spans="2:4" s="21" customFormat="1" ht="15">
      <c r="B78" s="20" t="s">
        <v>81</v>
      </c>
      <c r="C78" s="36">
        <f>57.87*$C$77</f>
        <v>1.9999871999999999</v>
      </c>
      <c r="D78" s="21" t="s">
        <v>44</v>
      </c>
    </row>
    <row r="79" spans="2:4" s="21" customFormat="1" ht="13.5">
      <c r="B79" s="20" t="s">
        <v>82</v>
      </c>
      <c r="C79" s="36">
        <f>(($K$45^2+4*$K$44*$C$78)^0.5-$K$45)/(2*$K$44)</f>
        <v>2.0046529165156968</v>
      </c>
      <c r="D79" s="21" t="s">
        <v>73</v>
      </c>
    </row>
    <row r="80" spans="2:5" s="21" customFormat="1" ht="13.5">
      <c r="B80" s="20" t="s">
        <v>83</v>
      </c>
      <c r="C80" s="30">
        <f>(0.9383+3.463*10^-2*$I$10)*10^-3*$C$79-(1.655+3.863*10^-2*$I$10)*10^-6*$C$79^2-(1.344+3.16*10^-2*$I$10)*10^-9*$C$79^3</f>
        <v>0.0036059450693487326</v>
      </c>
      <c r="D80" s="21" t="s">
        <v>75</v>
      </c>
      <c r="E80" s="21" t="s">
        <v>84</v>
      </c>
    </row>
    <row r="81" spans="2:6" s="21" customFormat="1" ht="15">
      <c r="B81" s="41" t="s">
        <v>375</v>
      </c>
      <c r="C81" s="44">
        <f>$C$19/((1-$C$25)*$C$80)</f>
        <v>14.999583203861942</v>
      </c>
      <c r="D81" s="29" t="s">
        <v>320</v>
      </c>
      <c r="E81" s="29" t="s">
        <v>376</v>
      </c>
      <c r="F81" s="29"/>
    </row>
    <row r="82" spans="2:5" s="21" customFormat="1" ht="13.5">
      <c r="B82" s="20" t="s">
        <v>85</v>
      </c>
      <c r="C82" s="31">
        <f>0.5927+0.4355*$C$79^-0.5-7.201*10^-5*$C$79+3.503*10^-6*$C$79^2</f>
        <v>0.9001571386371167</v>
      </c>
      <c r="D82" s="21" t="s">
        <v>2</v>
      </c>
      <c r="E82" s="38" t="s">
        <v>78</v>
      </c>
    </row>
    <row r="83" s="21" customFormat="1" ht="12"/>
    <row r="84" s="21" customFormat="1" ht="12">
      <c r="B84" s="21" t="s">
        <v>86</v>
      </c>
    </row>
    <row r="85" spans="2:4" s="21" customFormat="1" ht="13.5">
      <c r="B85" s="20" t="s">
        <v>83</v>
      </c>
      <c r="C85" s="30">
        <f>$C$80</f>
        <v>0.0036059450693487326</v>
      </c>
      <c r="D85" s="21" t="s">
        <v>75</v>
      </c>
    </row>
    <row r="86" spans="2:4" s="21" customFormat="1" ht="12">
      <c r="B86" s="22" t="s">
        <v>74</v>
      </c>
      <c r="C86" s="28">
        <f>$C$71</f>
        <v>0.0036059450693487326</v>
      </c>
      <c r="D86" s="23" t="s">
        <v>75</v>
      </c>
    </row>
    <row r="87" spans="2:5" s="21" customFormat="1" ht="13.5">
      <c r="B87" s="20" t="s">
        <v>87</v>
      </c>
      <c r="C87" s="31">
        <f>10^(0.338+0.6386*LOG($C$85)+0.2961*(LOG($C$85))^2)</f>
        <v>3.5081914683610895</v>
      </c>
      <c r="D87" s="21" t="s">
        <v>2</v>
      </c>
      <c r="E87" s="23" t="s">
        <v>88</v>
      </c>
    </row>
    <row r="88" spans="2:4" s="21" customFormat="1" ht="13.5">
      <c r="B88" s="20" t="s">
        <v>89</v>
      </c>
      <c r="C88" s="31">
        <f>1-0.1359*LOG($C$86/$C$85)</f>
        <v>1</v>
      </c>
      <c r="D88" s="21" t="s">
        <v>2</v>
      </c>
    </row>
    <row r="89" spans="2:10" s="21" customFormat="1" ht="15">
      <c r="B89" s="41" t="s">
        <v>333</v>
      </c>
      <c r="C89" s="44">
        <f>$C$87*$C$88*$H$21</f>
        <v>19.014168255727352</v>
      </c>
      <c r="D89" s="29" t="s">
        <v>320</v>
      </c>
      <c r="E89" s="29" t="s">
        <v>334</v>
      </c>
      <c r="F89" s="29"/>
      <c r="G89" s="29"/>
      <c r="H89" s="64"/>
      <c r="J89" s="20"/>
    </row>
    <row r="90" s="21" customFormat="1" ht="12">
      <c r="D90" s="36"/>
    </row>
    <row r="91" s="13" customFormat="1" ht="18.75">
      <c r="B91" s="13" t="s">
        <v>30</v>
      </c>
    </row>
    <row r="92" s="21" customFormat="1" ht="12">
      <c r="B92" s="21" t="s">
        <v>168</v>
      </c>
    </row>
    <row r="93" spans="1:9" s="21" customFormat="1" ht="13.5">
      <c r="A93" s="46" t="s">
        <v>90</v>
      </c>
      <c r="B93" s="46" t="s">
        <v>91</v>
      </c>
      <c r="C93" s="46" t="s">
        <v>92</v>
      </c>
      <c r="D93" s="46" t="s">
        <v>93</v>
      </c>
      <c r="E93" s="46" t="s">
        <v>94</v>
      </c>
      <c r="F93" s="46" t="s">
        <v>95</v>
      </c>
      <c r="G93" s="46" t="s">
        <v>96</v>
      </c>
      <c r="H93" s="46" t="s">
        <v>97</v>
      </c>
      <c r="I93" s="46" t="s">
        <v>98</v>
      </c>
    </row>
    <row r="94" spans="2:9" s="21" customFormat="1" ht="14.25">
      <c r="B94" s="33" t="s">
        <v>2</v>
      </c>
      <c r="C94" s="33" t="s">
        <v>43</v>
      </c>
      <c r="D94" s="33" t="s">
        <v>44</v>
      </c>
      <c r="E94" s="33" t="s">
        <v>73</v>
      </c>
      <c r="F94" s="33" t="s">
        <v>75</v>
      </c>
      <c r="G94" s="33" t="s">
        <v>40</v>
      </c>
      <c r="H94" s="33"/>
      <c r="I94" s="33" t="s">
        <v>40</v>
      </c>
    </row>
    <row r="95" spans="2:9" s="21" customFormat="1" ht="12">
      <c r="B95" s="33"/>
      <c r="C95" s="33"/>
      <c r="D95" s="33"/>
      <c r="E95" s="33"/>
      <c r="F95" s="33"/>
      <c r="G95" s="33"/>
      <c r="H95" s="33"/>
      <c r="I95" s="33"/>
    </row>
    <row r="96" spans="1:9" s="21" customFormat="1" ht="12">
      <c r="A96" s="21">
        <v>0</v>
      </c>
      <c r="B96" s="21">
        <f>-3*$C$8</f>
        <v>-0.30000000000000004</v>
      </c>
      <c r="C96" s="35">
        <f aca="true" t="shared" si="0" ref="C96:C108">($C$11-(($C$51*$C$21)/($C$19*$I$11))*$C$15/($C$55*($B96+1)))*10^3</f>
        <v>0.021111210944753298</v>
      </c>
      <c r="D96" s="36">
        <f>57.87*$C96</f>
        <v>1.2217057773728732</v>
      </c>
      <c r="E96" s="36">
        <f aca="true" t="shared" si="1" ref="E96:E108">(($K$45^2+4*$K$44*$D96)^0.5-$K$45)/(2*$K$44)</f>
        <v>1.2252828483838234</v>
      </c>
      <c r="F96" s="30">
        <f aca="true" t="shared" si="2" ref="F96:F108">(0.9383+3.463*10^-2*$I$10)*10^-3*$E96-(1.655+3.863*10^-2*$I$10)*10^-6*$E96^2-(1.344+3.16*10^-2*$I$10)*10^-9*$E96^3</f>
        <v>0.0022065330177481125</v>
      </c>
      <c r="G96" s="36">
        <f aca="true" t="shared" si="3" ref="G96:G107">$C$19/((1-$C$25)*$F96)</f>
        <v>24.51251472840024</v>
      </c>
      <c r="H96" s="21">
        <f>3*$C$18/1000</f>
        <v>0.9</v>
      </c>
      <c r="I96" s="32">
        <f>$H96*$G96</f>
        <v>22.061263255560217</v>
      </c>
    </row>
    <row r="97" spans="1:9" s="21" customFormat="1" ht="12">
      <c r="A97" s="21">
        <v>1</v>
      </c>
      <c r="B97" s="21">
        <f>$B$96-$A97*($B$96/6)</f>
        <v>-0.25000000000000006</v>
      </c>
      <c r="C97" s="35">
        <f t="shared" si="0"/>
        <v>0.022007796881769747</v>
      </c>
      <c r="D97" s="36">
        <f aca="true" t="shared" si="4" ref="D97:D108">57.87*$C97</f>
        <v>1.2735912055480152</v>
      </c>
      <c r="E97" s="36">
        <f t="shared" si="1"/>
        <v>1.2772696134895223</v>
      </c>
      <c r="F97" s="30">
        <f t="shared" si="2"/>
        <v>0.0022999782616245088</v>
      </c>
      <c r="G97" s="36">
        <f t="shared" si="3"/>
        <v>23.51660187346689</v>
      </c>
      <c r="H97" s="21">
        <f>9.2*$C$18/1000</f>
        <v>2.76</v>
      </c>
      <c r="I97" s="32">
        <f aca="true" t="shared" si="5" ref="I97:I108">$H97*$G97</f>
        <v>64.9058211707686</v>
      </c>
    </row>
    <row r="98" spans="1:9" s="21" customFormat="1" ht="12">
      <c r="A98" s="21">
        <v>2</v>
      </c>
      <c r="B98" s="21">
        <f>$B$96-$A98*($B$96/6)</f>
        <v>-0.2</v>
      </c>
      <c r="C98" s="35">
        <f t="shared" si="0"/>
        <v>0.022792309576659137</v>
      </c>
      <c r="D98" s="36">
        <f t="shared" si="4"/>
        <v>1.3189909552012642</v>
      </c>
      <c r="E98" s="36">
        <f t="shared" si="1"/>
        <v>1.3227546590797583</v>
      </c>
      <c r="F98" s="30">
        <f t="shared" si="2"/>
        <v>0.0023817251302223792</v>
      </c>
      <c r="G98" s="36">
        <f t="shared" si="3"/>
        <v>22.709452241116473</v>
      </c>
      <c r="H98" s="21">
        <f>27.9*$C$18/1000</f>
        <v>8.37</v>
      </c>
      <c r="I98" s="32">
        <f t="shared" si="5"/>
        <v>190.07811525814486</v>
      </c>
    </row>
    <row r="99" spans="1:9" s="21" customFormat="1" ht="12">
      <c r="A99" s="21">
        <v>3</v>
      </c>
      <c r="B99" s="21">
        <f aca="true" t="shared" si="6" ref="B99:B108">$B$96-$A99*($B$96/6)</f>
        <v>-0.15000000000000002</v>
      </c>
      <c r="C99" s="35">
        <f t="shared" si="0"/>
        <v>0.023484526660385068</v>
      </c>
      <c r="D99" s="36">
        <f t="shared" si="4"/>
        <v>1.3590495578364838</v>
      </c>
      <c r="E99" s="36">
        <f t="shared" si="1"/>
        <v>1.3628859083368046</v>
      </c>
      <c r="F99" s="30">
        <f t="shared" si="2"/>
        <v>0.0024538409876556466</v>
      </c>
      <c r="G99" s="36">
        <f t="shared" si="3"/>
        <v>22.04204484656782</v>
      </c>
      <c r="H99" s="21">
        <f>65.5*$C$18/1000</f>
        <v>19.65</v>
      </c>
      <c r="I99" s="32">
        <f t="shared" si="5"/>
        <v>433.12618123505763</v>
      </c>
    </row>
    <row r="100" spans="1:9" s="21" customFormat="1" ht="12">
      <c r="A100" s="21">
        <v>4</v>
      </c>
      <c r="B100" s="21">
        <f t="shared" si="6"/>
        <v>-0.1</v>
      </c>
      <c r="C100" s="35">
        <f t="shared" si="0"/>
        <v>0.024099830734808123</v>
      </c>
      <c r="D100" s="36">
        <f t="shared" si="4"/>
        <v>1.394657204623346</v>
      </c>
      <c r="E100" s="36">
        <f t="shared" si="1"/>
        <v>1.3985560725707986</v>
      </c>
      <c r="F100" s="30">
        <f t="shared" si="2"/>
        <v>0.002517933165344752</v>
      </c>
      <c r="G100" s="36">
        <f t="shared" si="3"/>
        <v>21.480980448838253</v>
      </c>
      <c r="H100" s="21">
        <f>121*$C$18/1000</f>
        <v>36.3</v>
      </c>
      <c r="I100" s="32">
        <f>$H100*$G100</f>
        <v>779.7595902928285</v>
      </c>
    </row>
    <row r="101" spans="1:9" s="21" customFormat="1" ht="12">
      <c r="A101" s="21">
        <v>5</v>
      </c>
      <c r="B101" s="21">
        <f t="shared" si="6"/>
        <v>-0.04999999999999999</v>
      </c>
      <c r="C101" s="35">
        <f t="shared" si="0"/>
        <v>0.024650365959291907</v>
      </c>
      <c r="D101" s="36">
        <f>57.87*$C101</f>
        <v>1.4265166780642227</v>
      </c>
      <c r="E101" s="36">
        <f t="shared" si="1"/>
        <v>1.4304698416407011</v>
      </c>
      <c r="F101" s="30">
        <f t="shared" si="2"/>
        <v>0.0025752701775225133</v>
      </c>
      <c r="G101" s="36">
        <f t="shared" si="3"/>
        <v>21.002717916100746</v>
      </c>
      <c r="H101" s="21">
        <f>174.7*$C$18/1000</f>
        <v>52.41</v>
      </c>
      <c r="I101" s="32">
        <f t="shared" si="5"/>
        <v>1100.75244598284</v>
      </c>
    </row>
    <row r="102" spans="1:9" s="21" customFormat="1" ht="12">
      <c r="A102" s="21">
        <v>6</v>
      </c>
      <c r="B102" s="21">
        <f t="shared" si="6"/>
        <v>0</v>
      </c>
      <c r="C102" s="35">
        <f t="shared" si="0"/>
        <v>0.02514584766132731</v>
      </c>
      <c r="D102" s="36">
        <f>57.87*$C102</f>
        <v>1.4551902041610114</v>
      </c>
      <c r="E102" s="36">
        <f t="shared" si="1"/>
        <v>1.4591909088627917</v>
      </c>
      <c r="F102" s="30">
        <f t="shared" si="2"/>
        <v>0.002626866528097971</v>
      </c>
      <c r="G102" s="36">
        <f t="shared" si="3"/>
        <v>20.59018702233614</v>
      </c>
      <c r="H102" s="21">
        <f>197.4*$C$18/1000</f>
        <v>59.22</v>
      </c>
      <c r="I102" s="32">
        <f t="shared" si="5"/>
        <v>1219.350875462746</v>
      </c>
    </row>
    <row r="103" spans="1:9" s="21" customFormat="1" ht="12">
      <c r="A103" s="21">
        <v>7</v>
      </c>
      <c r="B103" s="21">
        <f t="shared" si="6"/>
        <v>0.050000000000000044</v>
      </c>
      <c r="C103" s="35">
        <f t="shared" si="0"/>
        <v>0.025594140629835536</v>
      </c>
      <c r="D103" s="36">
        <f t="shared" si="4"/>
        <v>1.4811329182485824</v>
      </c>
      <c r="E103" s="36">
        <f t="shared" si="1"/>
        <v>1.4851755549075663</v>
      </c>
      <c r="F103" s="30">
        <f t="shared" si="2"/>
        <v>0.0026735432590627452</v>
      </c>
      <c r="G103" s="36">
        <f t="shared" si="3"/>
        <v>20.23070803620113</v>
      </c>
      <c r="H103" s="21">
        <f>174.7*$C$18/1000</f>
        <v>52.41</v>
      </c>
      <c r="I103" s="32">
        <f t="shared" si="5"/>
        <v>1060.291408177301</v>
      </c>
    </row>
    <row r="104" spans="1:9" s="21" customFormat="1" ht="12">
      <c r="A104" s="21">
        <v>8</v>
      </c>
      <c r="B104" s="21">
        <f t="shared" si="6"/>
        <v>0.10000000000000003</v>
      </c>
      <c r="C104" s="35">
        <f t="shared" si="0"/>
        <v>0.02600167969211574</v>
      </c>
      <c r="D104" s="36">
        <f>57.87*$C104</f>
        <v>1.5047172037827379</v>
      </c>
      <c r="E104" s="36">
        <f t="shared" si="1"/>
        <v>1.5087970689898274</v>
      </c>
      <c r="F104" s="30">
        <f t="shared" si="2"/>
        <v>0.00271597196752773</v>
      </c>
      <c r="G104" s="36">
        <f t="shared" si="3"/>
        <v>19.91466544681846</v>
      </c>
      <c r="H104" s="21">
        <f>121*$C$18/1000</f>
        <v>36.3</v>
      </c>
      <c r="I104" s="32">
        <f t="shared" si="5"/>
        <v>722.9023557195101</v>
      </c>
    </row>
    <row r="105" spans="1:10" s="21" customFormat="1" ht="12">
      <c r="A105" s="21">
        <v>9</v>
      </c>
      <c r="B105" s="21">
        <f t="shared" si="6"/>
        <v>0.15000000000000002</v>
      </c>
      <c r="C105" s="35">
        <f t="shared" si="0"/>
        <v>0.026373780575067226</v>
      </c>
      <c r="D105" s="36">
        <f t="shared" si="4"/>
        <v>1.5262506818791404</v>
      </c>
      <c r="E105" s="36">
        <f t="shared" si="1"/>
        <v>1.5303637970097017</v>
      </c>
      <c r="F105" s="30">
        <f t="shared" si="2"/>
        <v>0.0027547073279665635</v>
      </c>
      <c r="G105" s="36">
        <f t="shared" si="3"/>
        <v>19.63463506527128</v>
      </c>
      <c r="H105" s="21">
        <f>65.5*$C$18/1000</f>
        <v>19.65</v>
      </c>
      <c r="I105" s="32">
        <f t="shared" si="5"/>
        <v>385.8205790325806</v>
      </c>
      <c r="J105" s="20"/>
    </row>
    <row r="106" spans="1:9" s="21" customFormat="1" ht="12">
      <c r="A106" s="21">
        <v>10</v>
      </c>
      <c r="B106" s="21">
        <f t="shared" si="6"/>
        <v>0.20000000000000007</v>
      </c>
      <c r="C106" s="35">
        <f t="shared" si="0"/>
        <v>0.026714873051106095</v>
      </c>
      <c r="D106" s="36">
        <f t="shared" si="4"/>
        <v>1.5459897034675096</v>
      </c>
      <c r="E106" s="36">
        <f t="shared" si="1"/>
        <v>1.5501326760950873</v>
      </c>
      <c r="F106" s="30">
        <f t="shared" si="2"/>
        <v>0.002790211475694404</v>
      </c>
      <c r="G106" s="36">
        <f t="shared" si="3"/>
        <v>19.384793434981898</v>
      </c>
      <c r="H106" s="21">
        <f>27.9*$C$18/1000</f>
        <v>8.37</v>
      </c>
      <c r="I106" s="32">
        <f t="shared" si="5"/>
        <v>162.25072105079846</v>
      </c>
    </row>
    <row r="107" spans="1:9" s="21" customFormat="1" ht="12">
      <c r="A107" s="21">
        <v>11</v>
      </c>
      <c r="B107" s="21">
        <f t="shared" si="6"/>
        <v>0.2500000000000001</v>
      </c>
      <c r="C107" s="35">
        <f t="shared" si="0"/>
        <v>0.02702867812906185</v>
      </c>
      <c r="D107" s="36">
        <f t="shared" si="4"/>
        <v>1.5641496033288091</v>
      </c>
      <c r="E107" s="36">
        <f t="shared" si="1"/>
        <v>1.5683195197739426</v>
      </c>
      <c r="F107" s="30">
        <f t="shared" si="2"/>
        <v>0.0028228725326428306</v>
      </c>
      <c r="G107" s="36">
        <f t="shared" si="3"/>
        <v>19.16050847879201</v>
      </c>
      <c r="H107" s="21">
        <f>9.2*$C$18/1000</f>
        <v>2.76</v>
      </c>
      <c r="I107" s="32">
        <f t="shared" si="5"/>
        <v>52.88300340146594</v>
      </c>
    </row>
    <row r="108" spans="1:12" s="21" customFormat="1" ht="12">
      <c r="A108" s="21">
        <v>12</v>
      </c>
      <c r="B108" s="21">
        <f t="shared" si="6"/>
        <v>0.30000000000000004</v>
      </c>
      <c r="C108" s="35">
        <f t="shared" si="0"/>
        <v>0.027318344354867165</v>
      </c>
      <c r="D108" s="36">
        <f t="shared" si="4"/>
        <v>1.5809125878161627</v>
      </c>
      <c r="E108" s="36">
        <f t="shared" si="1"/>
        <v>1.5851069288862647</v>
      </c>
      <c r="F108" s="30">
        <f t="shared" si="2"/>
        <v>0.0028530188539725564</v>
      </c>
      <c r="G108" s="36">
        <f>$C$19/((1-$C$25)*$F108)</f>
        <v>18.958049653594163</v>
      </c>
      <c r="H108" s="21">
        <f>3*$C$18/1000</f>
        <v>0.9</v>
      </c>
      <c r="I108" s="32">
        <f t="shared" si="5"/>
        <v>17.062244688234745</v>
      </c>
      <c r="J108" s="29" t="s">
        <v>368</v>
      </c>
      <c r="K108" s="29"/>
      <c r="L108" s="29"/>
    </row>
    <row r="109" spans="5:12" s="21" customFormat="1" ht="14.25">
      <c r="E109" s="32"/>
      <c r="H109" s="21">
        <f>SUM(H96:H108)</f>
        <v>299.99999999999994</v>
      </c>
      <c r="I109" s="32">
        <f>SUM(I96:I108)</f>
        <v>6211.244604727837</v>
      </c>
      <c r="J109" s="44">
        <f>$I$109/$C$18</f>
        <v>20.704148682426123</v>
      </c>
      <c r="K109" s="29" t="s">
        <v>320</v>
      </c>
      <c r="L109" s="29"/>
    </row>
    <row r="110" spans="8:9" s="21" customFormat="1" ht="12">
      <c r="H110" s="47"/>
      <c r="I110" s="32"/>
    </row>
    <row r="111" spans="2:5" s="21" customFormat="1" ht="12">
      <c r="B111" s="21" t="s">
        <v>99</v>
      </c>
      <c r="E111" s="21" t="s">
        <v>100</v>
      </c>
    </row>
    <row r="112" spans="1:8" s="21" customFormat="1" ht="15">
      <c r="A112" s="46" t="s">
        <v>90</v>
      </c>
      <c r="B112" s="46" t="s">
        <v>101</v>
      </c>
      <c r="C112" s="46" t="s">
        <v>253</v>
      </c>
      <c r="D112" s="55"/>
      <c r="E112" s="46" t="s">
        <v>254</v>
      </c>
      <c r="F112" s="46" t="s">
        <v>255</v>
      </c>
      <c r="G112" s="46" t="s">
        <v>102</v>
      </c>
      <c r="H112" s="46" t="s">
        <v>256</v>
      </c>
    </row>
    <row r="113" spans="2:8" s="21" customFormat="1" ht="13.5">
      <c r="B113" s="33" t="s">
        <v>103</v>
      </c>
      <c r="C113" s="33" t="s">
        <v>257</v>
      </c>
      <c r="D113" s="33"/>
      <c r="E113" s="46"/>
      <c r="F113" s="33"/>
      <c r="G113" s="33"/>
      <c r="H113" s="56"/>
    </row>
    <row r="114" spans="2:8" s="21" customFormat="1" ht="14.25">
      <c r="B114" s="33"/>
      <c r="C114" s="46"/>
      <c r="D114" s="50"/>
      <c r="E114" s="33" t="s">
        <v>103</v>
      </c>
      <c r="F114" s="33" t="s">
        <v>103</v>
      </c>
      <c r="G114" s="33" t="s">
        <v>104</v>
      </c>
      <c r="H114" s="33" t="s">
        <v>104</v>
      </c>
    </row>
    <row r="115" spans="1:8" s="21" customFormat="1" ht="12">
      <c r="A115" s="21">
        <v>0</v>
      </c>
      <c r="B115" s="31">
        <f>0.5927+0.4355*$E96^-0.5-7.201*10^-5*$E96+3.503*10^-6*$E96^2</f>
        <v>0.9860492997411245</v>
      </c>
      <c r="C115" s="48">
        <f aca="true" t="shared" si="7" ref="C115:C127">$H96*LN(($E$73*$E$68)/($B115*$C96))</f>
        <v>1.3701333185178304</v>
      </c>
      <c r="D115" s="23"/>
      <c r="E115" s="31">
        <f>10^(0.338+0.6386*LOG($F96)+0.2961*(LOG($F96))^2)</f>
        <v>5.381927640130529</v>
      </c>
      <c r="F115" s="38">
        <f>1-0.1359*LOG($E$71/$F96)</f>
        <v>0.8950657209240724</v>
      </c>
      <c r="G115" s="36">
        <f aca="true" t="shared" si="8" ref="G115:G127">$E115*$F115*$H$21</f>
        <v>26.108794736411333</v>
      </c>
      <c r="H115" s="32">
        <f aca="true" t="shared" si="9" ref="H115:H127">$H96*$G115</f>
        <v>23.4979152627702</v>
      </c>
    </row>
    <row r="116" spans="1:8" s="21" customFormat="1" ht="12">
      <c r="A116" s="21">
        <v>1</v>
      </c>
      <c r="B116" s="31">
        <f aca="true" t="shared" si="10" ref="B116:B127">0.5927+0.4355*$E97^-0.5-7.201*10^-5*$E97+3.503*10^-6*$E97^2</f>
        <v>0.9779562018761897</v>
      </c>
      <c r="C116" s="48">
        <f t="shared" si="7"/>
        <v>4.1096931322373385</v>
      </c>
      <c r="D116" s="49"/>
      <c r="E116" s="31">
        <f aca="true" t="shared" si="11" ref="E116:E127">10^(0.338+0.6386*LOG($F97)+0.2961*(LOG($F97))^2)</f>
        <v>5.178468267264252</v>
      </c>
      <c r="F116" s="38">
        <f aca="true" t="shared" si="12" ref="F116:F127">1-0.1359*LOG($E$71/$F97)</f>
        <v>0.8975137285059617</v>
      </c>
      <c r="G116" s="36">
        <f>$E116*$F116*$H$21</f>
        <v>25.1904812332964</v>
      </c>
      <c r="H116" s="32">
        <f t="shared" si="9"/>
        <v>69.52572820389805</v>
      </c>
    </row>
    <row r="117" spans="1:8" s="21" customFormat="1" ht="12">
      <c r="A117" s="21">
        <v>2</v>
      </c>
      <c r="B117" s="31">
        <f t="shared" si="10"/>
        <v>0.9712700744045922</v>
      </c>
      <c r="C117" s="48">
        <f t="shared" si="7"/>
        <v>12.22734112400876</v>
      </c>
      <c r="D117" s="49"/>
      <c r="E117" s="31">
        <f>10^(0.338+0.6386*LOG($F98)+0.2961*(LOG($F98))^2)</f>
        <v>5.0148450952888055</v>
      </c>
      <c r="F117" s="38">
        <f>1-0.1359*LOG($E$71/$F98)</f>
        <v>0.8995750471716507</v>
      </c>
      <c r="G117" s="36">
        <f t="shared" si="8"/>
        <v>24.450568840635555</v>
      </c>
      <c r="H117" s="32">
        <f t="shared" si="9"/>
        <v>204.65126119611958</v>
      </c>
    </row>
    <row r="118" spans="1:8" s="21" customFormat="1" ht="12">
      <c r="A118" s="21">
        <v>3</v>
      </c>
      <c r="B118" s="31">
        <f>0.5927+0.4355*$E99^-0.5-7.201*10^-5*$E99+3.503*10^-6*$E99^2</f>
        <v>0.9656509475754289</v>
      </c>
      <c r="C118" s="48">
        <f t="shared" si="7"/>
        <v>28.231876852056672</v>
      </c>
      <c r="D118" s="49"/>
      <c r="E118" s="31">
        <f>10^(0.338+0.6386*LOG($F99)+0.2961*(LOG($F99))^2)</f>
        <v>4.880407925826818</v>
      </c>
      <c r="F118" s="38">
        <f>1-0.1359*LOG($E$71/$F99)</f>
        <v>0.9013356014154128</v>
      </c>
      <c r="G118" s="36">
        <f t="shared" si="8"/>
        <v>23.841671167137385</v>
      </c>
      <c r="H118" s="32">
        <f t="shared" si="9"/>
        <v>468.4888384342496</v>
      </c>
    </row>
    <row r="119" spans="1:8" s="21" customFormat="1" ht="12">
      <c r="A119" s="21">
        <v>4</v>
      </c>
      <c r="B119" s="31">
        <f t="shared" si="10"/>
        <v>0.9608607732570381</v>
      </c>
      <c r="C119" s="48">
        <f t="shared" si="7"/>
        <v>51.39523129769772</v>
      </c>
      <c r="D119" s="49"/>
      <c r="E119" s="31">
        <f>10^(0.338+0.6386*LOG($F100)+0.2961*(LOG($F100))^2)</f>
        <v>4.767990428712421</v>
      </c>
      <c r="F119" s="38">
        <f t="shared" si="12"/>
        <v>0.9028573799670726</v>
      </c>
      <c r="G119" s="36">
        <f t="shared" si="8"/>
        <v>23.331817559049746</v>
      </c>
      <c r="H119" s="32">
        <f t="shared" si="9"/>
        <v>846.9449773935057</v>
      </c>
    </row>
    <row r="120" spans="1:8" s="21" customFormat="1" ht="12">
      <c r="A120" s="21">
        <v>5</v>
      </c>
      <c r="B120" s="31">
        <f t="shared" si="10"/>
        <v>0.956727741801014</v>
      </c>
      <c r="C120" s="48">
        <f t="shared" si="7"/>
        <v>73.2466607083591</v>
      </c>
      <c r="D120" s="49"/>
      <c r="E120" s="31">
        <f t="shared" si="11"/>
        <v>4.672593955062624</v>
      </c>
      <c r="F120" s="38">
        <f>1-0.1359*LOG($E$71/$F101)</f>
        <v>0.9041862917551965</v>
      </c>
      <c r="G120" s="36">
        <f t="shared" si="8"/>
        <v>22.89865668506503</v>
      </c>
      <c r="H120" s="32">
        <f t="shared" si="9"/>
        <v>1200.1185968642583</v>
      </c>
    </row>
    <row r="121" spans="1:8" s="21" customFormat="1" ht="12">
      <c r="A121" s="21">
        <v>6</v>
      </c>
      <c r="B121" s="31">
        <f>0.5927+0.4355*$E102^-0.5-7.201*10^-5*$E102+3.503*10^-6*$E102^2</f>
        <v>0.9531246563907014</v>
      </c>
      <c r="C121" s="48">
        <f t="shared" si="7"/>
        <v>81.80902197788333</v>
      </c>
      <c r="D121" s="49"/>
      <c r="E121" s="31">
        <f>10^(0.338+0.6386*LOG($F102)+0.2961*(LOG($F102))^2)</f>
        <v>4.590625879388431</v>
      </c>
      <c r="F121" s="38">
        <f>1-0.1359*LOG($E$71/$F102)</f>
        <v>0.9053570985371067</v>
      </c>
      <c r="G121" s="36">
        <f t="shared" si="8"/>
        <v>22.526092146308276</v>
      </c>
      <c r="H121" s="32">
        <f t="shared" si="9"/>
        <v>1333.995176904376</v>
      </c>
    </row>
    <row r="122" spans="1:8" s="21" customFormat="1" ht="12">
      <c r="A122" s="21">
        <v>7</v>
      </c>
      <c r="B122" s="31">
        <f t="shared" si="10"/>
        <v>0.9499552856630681</v>
      </c>
      <c r="C122" s="48">
        <f t="shared" si="7"/>
        <v>71.64984576545334</v>
      </c>
      <c r="D122" s="49"/>
      <c r="E122" s="31">
        <f t="shared" si="11"/>
        <v>4.519437886541233</v>
      </c>
      <c r="F122" s="38">
        <f>1-0.1359*LOG($E$71/$F103)</f>
        <v>0.9063966260201539</v>
      </c>
      <c r="G122" s="36">
        <f t="shared" si="8"/>
        <v>22.202237642042455</v>
      </c>
      <c r="H122" s="32">
        <f t="shared" si="9"/>
        <v>1163.619274819445</v>
      </c>
    </row>
    <row r="123" spans="1:8" s="21" customFormat="1" ht="12">
      <c r="A123" s="21">
        <v>8</v>
      </c>
      <c r="B123" s="31">
        <f t="shared" si="10"/>
        <v>0.9471454512786068</v>
      </c>
      <c r="C123" s="48">
        <f t="shared" si="7"/>
        <v>49.15989639316034</v>
      </c>
      <c r="D123" s="49"/>
      <c r="E123" s="31">
        <f>10^(0.338+0.6386*LOG($F104)+0.2961*(LOG($F104))^2)</f>
        <v>4.45703493023522</v>
      </c>
      <c r="F123" s="38">
        <f t="shared" si="12"/>
        <v>0.9073259194026858</v>
      </c>
      <c r="G123" s="36">
        <f t="shared" si="8"/>
        <v>21.918125018280154</v>
      </c>
      <c r="H123" s="32">
        <f t="shared" si="9"/>
        <v>795.6279381635695</v>
      </c>
    </row>
    <row r="124" spans="1:8" s="21" customFormat="1" ht="12">
      <c r="A124" s="21">
        <v>9</v>
      </c>
      <c r="B124" s="31">
        <f t="shared" si="10"/>
        <v>0.944637034222482</v>
      </c>
      <c r="C124" s="48">
        <f t="shared" si="7"/>
        <v>26.384247790572562</v>
      </c>
      <c r="D124" s="49"/>
      <c r="E124" s="31">
        <f t="shared" si="11"/>
        <v>4.401885552758306</v>
      </c>
      <c r="F124" s="38">
        <f t="shared" si="12"/>
        <v>0.908161729025376</v>
      </c>
      <c r="G124" s="36">
        <f t="shared" si="8"/>
        <v>21.666860529507574</v>
      </c>
      <c r="H124" s="32">
        <f t="shared" si="9"/>
        <v>425.7538094048238</v>
      </c>
    </row>
    <row r="125" spans="1:9" s="21" customFormat="1" ht="12">
      <c r="A125" s="21">
        <v>10</v>
      </c>
      <c r="B125" s="31">
        <f t="shared" si="10"/>
        <v>0.9423838399566793</v>
      </c>
      <c r="C125" s="48">
        <f t="shared" si="7"/>
        <v>11.150914189367022</v>
      </c>
      <c r="D125" s="49"/>
      <c r="E125" s="31">
        <f t="shared" si="11"/>
        <v>4.3527946512644515</v>
      </c>
      <c r="F125" s="38">
        <f t="shared" si="12"/>
        <v>0.9089175581102429</v>
      </c>
      <c r="G125" s="36">
        <f t="shared" si="8"/>
        <v>21.443057831059587</v>
      </c>
      <c r="H125" s="32">
        <f t="shared" si="9"/>
        <v>179.4783940459687</v>
      </c>
      <c r="I125" s="20"/>
    </row>
    <row r="126" spans="1:10" s="21" customFormat="1" ht="12">
      <c r="A126" s="21">
        <v>11</v>
      </c>
      <c r="B126" s="31">
        <f t="shared" si="10"/>
        <v>0.9403486815109079</v>
      </c>
      <c r="C126" s="48">
        <f t="shared" si="7"/>
        <v>3.650739578292739</v>
      </c>
      <c r="D126" s="49"/>
      <c r="E126" s="31">
        <f t="shared" si="11"/>
        <v>4.308815958603585</v>
      </c>
      <c r="F126" s="38">
        <f t="shared" si="12"/>
        <v>0.9096044167380647</v>
      </c>
      <c r="G126" s="36">
        <f t="shared" si="8"/>
        <v>21.242447307240077</v>
      </c>
      <c r="H126" s="32">
        <f t="shared" si="9"/>
        <v>58.62915456798261</v>
      </c>
      <c r="J126" s="64"/>
    </row>
    <row r="127" spans="1:11" s="21" customFormat="1" ht="12">
      <c r="A127" s="21">
        <v>12</v>
      </c>
      <c r="B127" s="31">
        <f t="shared" si="10"/>
        <v>0.938501280734627</v>
      </c>
      <c r="C127" s="48">
        <f t="shared" si="7"/>
        <v>1.1826344512490485</v>
      </c>
      <c r="D127" s="49"/>
      <c r="E127" s="31">
        <f t="shared" si="11"/>
        <v>4.26919049428192</v>
      </c>
      <c r="F127" s="38">
        <f t="shared" si="12"/>
        <v>0.9102313742283491</v>
      </c>
      <c r="G127" s="36">
        <f t="shared" si="8"/>
        <v>21.061600911560916</v>
      </c>
      <c r="H127" s="32">
        <f t="shared" si="9"/>
        <v>18.955440820404824</v>
      </c>
      <c r="I127" s="29" t="s">
        <v>367</v>
      </c>
      <c r="J127" s="29"/>
      <c r="K127" s="29"/>
    </row>
    <row r="128" spans="3:11" s="21" customFormat="1" ht="14.25">
      <c r="C128" s="48">
        <f>SUM(C115:C127)</f>
        <v>415.5682365788558</v>
      </c>
      <c r="H128" s="32">
        <f>SUM(H115:H127)</f>
        <v>6789.286506081372</v>
      </c>
      <c r="I128" s="44">
        <f>$H$128/$C$18</f>
        <v>22.63095502027124</v>
      </c>
      <c r="J128" s="29" t="s">
        <v>320</v>
      </c>
      <c r="K128" s="29"/>
    </row>
    <row r="129" s="21" customFormat="1" ht="12"/>
    <row r="130" s="13" customFormat="1" ht="18.75">
      <c r="B130" s="13" t="s">
        <v>31</v>
      </c>
    </row>
    <row r="131" spans="6:9" s="21" customFormat="1" ht="12">
      <c r="F131" s="29" t="s">
        <v>335</v>
      </c>
      <c r="G131" s="29" t="s">
        <v>336</v>
      </c>
      <c r="H131" s="29" t="s">
        <v>337</v>
      </c>
      <c r="I131" s="29" t="s">
        <v>338</v>
      </c>
    </row>
    <row r="132" spans="2:9" s="33" customFormat="1" ht="13.5">
      <c r="B132" s="33" t="s">
        <v>105</v>
      </c>
      <c r="C132" s="33" t="s">
        <v>105</v>
      </c>
      <c r="D132" s="33" t="s">
        <v>106</v>
      </c>
      <c r="E132" s="33" t="s">
        <v>106</v>
      </c>
      <c r="F132" s="101" t="s">
        <v>339</v>
      </c>
      <c r="G132" s="102" t="s">
        <v>340</v>
      </c>
      <c r="H132" s="102" t="s">
        <v>341</v>
      </c>
      <c r="I132" s="101" t="s">
        <v>342</v>
      </c>
    </row>
    <row r="133" spans="2:9" s="33" customFormat="1" ht="12">
      <c r="B133" s="33" t="s">
        <v>271</v>
      </c>
      <c r="C133" s="33" t="s">
        <v>272</v>
      </c>
      <c r="D133" s="33" t="s">
        <v>271</v>
      </c>
      <c r="E133" s="33" t="s">
        <v>274</v>
      </c>
      <c r="F133" s="102"/>
      <c r="G133" s="102"/>
      <c r="H133" s="102"/>
      <c r="I133" s="102"/>
    </row>
    <row r="134" spans="2:9" s="33" customFormat="1" ht="15">
      <c r="B134" s="33" t="s">
        <v>107</v>
      </c>
      <c r="C134" s="33" t="s">
        <v>108</v>
      </c>
      <c r="D134" s="33" t="s">
        <v>109</v>
      </c>
      <c r="E134" s="33" t="s">
        <v>110</v>
      </c>
      <c r="F134" s="102" t="s">
        <v>183</v>
      </c>
      <c r="G134" s="102" t="s">
        <v>112</v>
      </c>
      <c r="H134" s="102" t="s">
        <v>112</v>
      </c>
      <c r="I134" s="102" t="s">
        <v>112</v>
      </c>
    </row>
    <row r="135" spans="2:9" s="21" customFormat="1" ht="14.25">
      <c r="B135" s="33" t="s">
        <v>40</v>
      </c>
      <c r="C135" s="33" t="s">
        <v>1</v>
      </c>
      <c r="D135" s="33" t="s">
        <v>40</v>
      </c>
      <c r="E135" s="33" t="s">
        <v>1</v>
      </c>
      <c r="F135" s="112">
        <f>$C$15*$I$195</f>
        <v>0.004247238597939573</v>
      </c>
      <c r="G135" s="70">
        <f>$D$136*$F$135/$C$18</f>
        <v>0.20164798245497045</v>
      </c>
      <c r="H135" s="70">
        <f>$E$136/$C$18</f>
        <v>0.06478262933147678</v>
      </c>
      <c r="I135" s="70">
        <f>$G$135+$H$135</f>
        <v>0.2664306117864472</v>
      </c>
    </row>
    <row r="136" spans="2:9" s="21" customFormat="1" ht="13.5">
      <c r="B136" s="32">
        <f>($C$81+$C$72+$C$89)*$C$18</f>
        <v>14704.000399035369</v>
      </c>
      <c r="C136" s="32">
        <f>2*($H$19-1)*$I$12*$C$18*LN(($C$73*$C$68)/($C$82*$C$77))</f>
        <v>0</v>
      </c>
      <c r="D136" s="32">
        <f>$I$109+$E$72*$C$18+$H$128</f>
        <v>14243.229651811478</v>
      </c>
      <c r="E136" s="32">
        <f>2*($H$19-1)*$I$12*$C$128</f>
        <v>19.434788799443034</v>
      </c>
      <c r="F136" s="101" t="s">
        <v>343</v>
      </c>
      <c r="G136" s="102" t="s">
        <v>344</v>
      </c>
      <c r="H136" s="102" t="s">
        <v>345</v>
      </c>
      <c r="I136" s="101" t="s">
        <v>346</v>
      </c>
    </row>
    <row r="137" spans="2:11" s="21" customFormat="1" ht="12">
      <c r="B137" s="32"/>
      <c r="C137" s="32"/>
      <c r="D137" s="32"/>
      <c r="E137" s="32"/>
      <c r="F137" s="102"/>
      <c r="G137" s="102"/>
      <c r="H137" s="102"/>
      <c r="I137" s="102"/>
      <c r="J137" s="104" t="s">
        <v>369</v>
      </c>
      <c r="K137" s="29"/>
    </row>
    <row r="138" spans="6:11" s="21" customFormat="1" ht="14.25">
      <c r="F138" s="102" t="s">
        <v>183</v>
      </c>
      <c r="G138" s="102" t="s">
        <v>112</v>
      </c>
      <c r="H138" s="102" t="s">
        <v>112</v>
      </c>
      <c r="I138" s="102" t="s">
        <v>112</v>
      </c>
      <c r="J138" s="102" t="s">
        <v>370</v>
      </c>
      <c r="K138" s="29"/>
    </row>
    <row r="139" spans="6:11" s="21" customFormat="1" ht="12">
      <c r="F139" s="112">
        <f>$C$15*$J$195</f>
        <v>0.005435880125600228</v>
      </c>
      <c r="G139" s="70">
        <f>$B$136*$F$139/$C$18</f>
        <v>0.2664306117864473</v>
      </c>
      <c r="H139" s="70">
        <f>$C$136/$C$18</f>
        <v>0</v>
      </c>
      <c r="I139" s="70">
        <f>$G$139+$H$139</f>
        <v>0.2664306117864473</v>
      </c>
      <c r="J139" s="100">
        <f>($I$139*$C$15*$C$22/$C$53)*(1000000/(3600*1000))</f>
        <v>0.07412449127546539</v>
      </c>
      <c r="K139" s="29"/>
    </row>
    <row r="140" spans="7:10" s="21" customFormat="1" ht="12">
      <c r="G140" s="35"/>
      <c r="H140" s="31"/>
      <c r="I140" s="31"/>
      <c r="J140" s="38"/>
    </row>
    <row r="141" spans="2:9" s="33" customFormat="1" ht="13.5">
      <c r="B141" s="33" t="s">
        <v>113</v>
      </c>
      <c r="C141" s="33" t="s">
        <v>258</v>
      </c>
      <c r="D141" s="33" t="s">
        <v>259</v>
      </c>
      <c r="E141" s="33" t="s">
        <v>260</v>
      </c>
      <c r="F141" s="33" t="s">
        <v>261</v>
      </c>
      <c r="G141" s="33" t="s">
        <v>114</v>
      </c>
      <c r="H141" s="33" t="s">
        <v>263</v>
      </c>
      <c r="I141" s="33" t="s">
        <v>262</v>
      </c>
    </row>
    <row r="142" spans="2:9" s="33" customFormat="1" ht="14.25">
      <c r="B142" s="33" t="s">
        <v>2</v>
      </c>
      <c r="C142" s="33" t="s">
        <v>111</v>
      </c>
      <c r="D142" s="33" t="s">
        <v>111</v>
      </c>
      <c r="E142" s="33" t="s">
        <v>111</v>
      </c>
      <c r="F142" s="33" t="s">
        <v>111</v>
      </c>
      <c r="G142" s="33" t="s">
        <v>111</v>
      </c>
      <c r="H142" s="33" t="s">
        <v>111</v>
      </c>
      <c r="I142" s="33" t="s">
        <v>111</v>
      </c>
    </row>
    <row r="143" spans="2:10" s="21" customFormat="1" ht="12">
      <c r="B143" s="35">
        <f>$D$136/$B$136</f>
        <v>0.9686635789771797</v>
      </c>
      <c r="C143" s="35">
        <f>-($C$136-$E$136)/$B$136</f>
        <v>0.0013217347845500616</v>
      </c>
      <c r="D143" s="35">
        <f>$C$15-$C$143</f>
        <v>0.0036782652154499383</v>
      </c>
      <c r="E143" s="35">
        <f>-2*(3*$C$15-2*$C$143)</f>
        <v>-0.02471306086179975</v>
      </c>
      <c r="F143" s="35">
        <f>3*(2*$C$15-$C$143)</f>
        <v>0.026034795646349813</v>
      </c>
      <c r="G143" s="35">
        <f>$B$143*$C$15</f>
        <v>0.004843317894885899</v>
      </c>
      <c r="H143" s="35">
        <f>-2*(2*$B$143+1)*$C$15</f>
        <v>-0.029373271579543597</v>
      </c>
      <c r="I143" s="35">
        <f>3*($B$143+1)*$C$15</f>
        <v>0.029529953684657696</v>
      </c>
      <c r="J143" s="35"/>
    </row>
    <row r="144" spans="3:10" s="21" customFormat="1" ht="12">
      <c r="C144" s="35"/>
      <c r="D144" s="35"/>
      <c r="H144" s="41"/>
      <c r="I144" s="29"/>
      <c r="J144" s="29"/>
    </row>
    <row r="145" s="13" customFormat="1" ht="18.75">
      <c r="B145" s="13" t="s">
        <v>115</v>
      </c>
    </row>
    <row r="146" s="21" customFormat="1" ht="12">
      <c r="B146" s="21" t="s">
        <v>116</v>
      </c>
    </row>
    <row r="147" spans="2:9" s="33" customFormat="1" ht="13.5">
      <c r="B147" s="46" t="s">
        <v>91</v>
      </c>
      <c r="C147" s="46" t="s">
        <v>117</v>
      </c>
      <c r="D147" s="50" t="s">
        <v>118</v>
      </c>
      <c r="E147" s="50" t="s">
        <v>119</v>
      </c>
      <c r="F147" s="46" t="s">
        <v>120</v>
      </c>
      <c r="G147" s="46" t="s">
        <v>121</v>
      </c>
      <c r="H147" s="46" t="s">
        <v>97</v>
      </c>
      <c r="I147" s="46" t="s">
        <v>122</v>
      </c>
    </row>
    <row r="148" spans="2:9" s="33" customFormat="1" ht="14.25">
      <c r="B148" s="33" t="s">
        <v>2</v>
      </c>
      <c r="C148" s="33" t="s">
        <v>43</v>
      </c>
      <c r="D148" s="57" t="s">
        <v>123</v>
      </c>
      <c r="E148" s="57" t="s">
        <v>73</v>
      </c>
      <c r="F148" s="33" t="s">
        <v>75</v>
      </c>
      <c r="G148" s="33" t="s">
        <v>40</v>
      </c>
      <c r="I148" s="33" t="s">
        <v>40</v>
      </c>
    </row>
    <row r="149" spans="1:9" s="21" customFormat="1" ht="12">
      <c r="A149" s="21">
        <v>0</v>
      </c>
      <c r="B149" s="21">
        <f>-3*$C$8</f>
        <v>-0.30000000000000004</v>
      </c>
      <c r="C149" s="35">
        <f aca="true" t="shared" si="13" ref="C149:C161">($C$11-(($C$51*$C$21)/($C$19*$I$11))*($F$195*$B$195+($G$195/2)*$B$195^2+($H$195/3)*$B$195^3)/($C$56*($B149+1)))*10^3</f>
        <v>0.02657955839514776</v>
      </c>
      <c r="D149" s="66">
        <f>57.87*$C149</f>
        <v>1.5381590443272009</v>
      </c>
      <c r="E149" s="67">
        <f aca="true" t="shared" si="14" ref="E149:E161">(($K$45^2+4*$K$44*$D149)^0.5-$K$45)/(2*$K$44)</f>
        <v>1.542290243345724</v>
      </c>
      <c r="F149" s="30">
        <f aca="true" t="shared" si="15" ref="F149:F161">(0.9383+3.463*10^-2*$I$10)*10^-3*$E149-(1.655+3.863*10^-2*$I$10)*10^-6*$E149^2-(1.344+3.16*10^-2*$I$10)*10^-9*$E149^3</f>
        <v>0.0027761270136674515</v>
      </c>
      <c r="G149" s="36">
        <f aca="true" t="shared" si="16" ref="G149:G161">$C$19/((1-$C$25)*$F149)</f>
        <v>19.483140659619373</v>
      </c>
      <c r="H149" s="21">
        <f>3*$C$18/1000</f>
        <v>0.9</v>
      </c>
      <c r="I149" s="32">
        <f aca="true" t="shared" si="17" ref="I149:I161">$H149*$G149</f>
        <v>17.534826593657435</v>
      </c>
    </row>
    <row r="150" spans="1:9" s="21" customFormat="1" ht="12">
      <c r="A150" s="21">
        <v>1</v>
      </c>
      <c r="B150" s="21">
        <f>$B$96-$A150*($B$96/6)</f>
        <v>-0.25000000000000006</v>
      </c>
      <c r="C150" s="35">
        <f t="shared" si="13"/>
        <v>0.027111587835471244</v>
      </c>
      <c r="D150" s="66">
        <f>57.87*$C150</f>
        <v>1.5689475880387207</v>
      </c>
      <c r="E150" s="67">
        <f t="shared" si="14"/>
        <v>1.5731245392144464</v>
      </c>
      <c r="F150" s="30">
        <f t="shared" si="15"/>
        <v>0.0028315013926356204</v>
      </c>
      <c r="G150" s="36">
        <f t="shared" si="16"/>
        <v>19.102117779961997</v>
      </c>
      <c r="H150" s="21">
        <f>9.2*$C$18/1000</f>
        <v>2.76</v>
      </c>
      <c r="I150" s="32">
        <f t="shared" si="17"/>
        <v>52.72184507269511</v>
      </c>
    </row>
    <row r="151" spans="1:9" s="21" customFormat="1" ht="12">
      <c r="A151" s="21">
        <v>2</v>
      </c>
      <c r="B151" s="21">
        <f aca="true" t="shared" si="18" ref="B151:B161">$B$96-$A151*($B$96/6)</f>
        <v>-0.2</v>
      </c>
      <c r="C151" s="35">
        <f t="shared" si="13"/>
        <v>0.02757711359575429</v>
      </c>
      <c r="D151" s="66">
        <f>57.87*$C151</f>
        <v>1.5958875637863006</v>
      </c>
      <c r="E151" s="67">
        <f t="shared" si="14"/>
        <v>1.6001033617067169</v>
      </c>
      <c r="F151" s="30">
        <f t="shared" si="15"/>
        <v>0.0028799477402682697</v>
      </c>
      <c r="G151" s="36">
        <f t="shared" si="16"/>
        <v>18.780782838515577</v>
      </c>
      <c r="H151" s="21">
        <f>27.9*$C$18/1000</f>
        <v>8.37</v>
      </c>
      <c r="I151" s="32">
        <f t="shared" si="17"/>
        <v>157.19515235837537</v>
      </c>
    </row>
    <row r="152" spans="1:9" s="21" customFormat="1" ht="12">
      <c r="A152" s="21">
        <v>3</v>
      </c>
      <c r="B152" s="21">
        <f t="shared" si="18"/>
        <v>-0.15000000000000002</v>
      </c>
      <c r="C152" s="35">
        <f t="shared" si="13"/>
        <v>0.02798787161953345</v>
      </c>
      <c r="D152" s="66">
        <f aca="true" t="shared" si="19" ref="D152:D161">57.87*$C152</f>
        <v>1.6196581306224007</v>
      </c>
      <c r="E152" s="67">
        <f t="shared" si="14"/>
        <v>1.6239072856394574</v>
      </c>
      <c r="F152" s="30">
        <f t="shared" si="15"/>
        <v>0.0029226896861190253</v>
      </c>
      <c r="G152" s="36">
        <f t="shared" si="16"/>
        <v>18.506129252494762</v>
      </c>
      <c r="H152" s="21">
        <f>65.5*$C$18/1000</f>
        <v>19.65</v>
      </c>
      <c r="I152" s="32">
        <f t="shared" si="17"/>
        <v>363.64543981152207</v>
      </c>
    </row>
    <row r="153" spans="1:9" s="21" customFormat="1" ht="12">
      <c r="A153" s="21">
        <v>4</v>
      </c>
      <c r="B153" s="21">
        <f t="shared" si="18"/>
        <v>-0.1</v>
      </c>
      <c r="C153" s="35">
        <f t="shared" si="13"/>
        <v>0.028352989862892704</v>
      </c>
      <c r="D153" s="66">
        <f>57.87*$C153</f>
        <v>1.6407875233656006</v>
      </c>
      <c r="E153" s="67">
        <f t="shared" si="14"/>
        <v>1.6450656055788655</v>
      </c>
      <c r="F153" s="30">
        <f t="shared" si="15"/>
        <v>0.002960678724597737</v>
      </c>
      <c r="G153" s="36">
        <f t="shared" si="16"/>
        <v>18.268673546671582</v>
      </c>
      <c r="H153" s="21">
        <f>121*$C$18/1000</f>
        <v>36.3</v>
      </c>
      <c r="I153" s="32">
        <f t="shared" si="17"/>
        <v>663.1528497441784</v>
      </c>
    </row>
    <row r="154" spans="1:9" s="21" customFormat="1" ht="12">
      <c r="A154" s="21">
        <v>5</v>
      </c>
      <c r="B154" s="21">
        <f t="shared" si="18"/>
        <v>-0.04999999999999999</v>
      </c>
      <c r="C154" s="35">
        <f t="shared" si="13"/>
        <v>0.028679674606950985</v>
      </c>
      <c r="D154" s="66">
        <f>57.87*$C154</f>
        <v>1.6596927695042534</v>
      </c>
      <c r="E154" s="67">
        <f t="shared" si="14"/>
        <v>1.663996156760059</v>
      </c>
      <c r="F154" s="30">
        <f t="shared" si="15"/>
        <v>0.002994665883716016</v>
      </c>
      <c r="G154" s="36">
        <f t="shared" si="16"/>
        <v>18.061338124684486</v>
      </c>
      <c r="H154" s="21">
        <f>174.7*$C$18/1000</f>
        <v>52.41</v>
      </c>
      <c r="I154" s="32">
        <f t="shared" si="17"/>
        <v>946.5947311147138</v>
      </c>
    </row>
    <row r="155" spans="1:9" s="21" customFormat="1" ht="12">
      <c r="A155" s="21">
        <v>6</v>
      </c>
      <c r="B155" s="21">
        <f t="shared" si="18"/>
        <v>0</v>
      </c>
      <c r="C155" s="35">
        <f t="shared" si="13"/>
        <v>0.028973690876603432</v>
      </c>
      <c r="D155" s="66">
        <f t="shared" si="19"/>
        <v>1.6767074910290405</v>
      </c>
      <c r="E155" s="67">
        <f t="shared" si="14"/>
        <v>1.6810331867862793</v>
      </c>
      <c r="F155" s="30">
        <f t="shared" si="15"/>
        <v>0.0030252518777478267</v>
      </c>
      <c r="G155" s="36">
        <f t="shared" si="16"/>
        <v>17.878733831748928</v>
      </c>
      <c r="H155" s="21">
        <f>197.4*$C$18/1000</f>
        <v>59.22</v>
      </c>
      <c r="I155" s="32">
        <f t="shared" si="17"/>
        <v>1058.7786175161714</v>
      </c>
    </row>
    <row r="156" spans="1:9" s="21" customFormat="1" ht="12">
      <c r="A156" s="21">
        <v>7</v>
      </c>
      <c r="B156" s="21">
        <f t="shared" si="18"/>
        <v>0.050000000000000044</v>
      </c>
      <c r="C156" s="35">
        <f t="shared" si="13"/>
        <v>0.029239705596765177</v>
      </c>
      <c r="D156" s="66">
        <f t="shared" si="19"/>
        <v>1.6921017628848007</v>
      </c>
      <c r="E156" s="67">
        <f t="shared" si="14"/>
        <v>1.6964472621158337</v>
      </c>
      <c r="F156" s="30">
        <f t="shared" si="15"/>
        <v>0.0030529229207423587</v>
      </c>
      <c r="G156" s="36">
        <f t="shared" si="16"/>
        <v>17.716684796974796</v>
      </c>
      <c r="H156" s="21">
        <f>174.7*$C$18/1000</f>
        <v>52.41</v>
      </c>
      <c r="I156" s="32">
        <f t="shared" si="17"/>
        <v>928.531450209449</v>
      </c>
    </row>
    <row r="157" spans="1:9" s="21" customFormat="1" ht="12">
      <c r="A157" s="21">
        <v>8</v>
      </c>
      <c r="B157" s="21">
        <f t="shared" si="18"/>
        <v>0.10000000000000003</v>
      </c>
      <c r="C157" s="35">
        <f t="shared" si="13"/>
        <v>0.029481537160548577</v>
      </c>
      <c r="D157" s="66">
        <f t="shared" si="19"/>
        <v>1.706096555480946</v>
      </c>
      <c r="E157" s="67">
        <f t="shared" si="14"/>
        <v>1.7104597442909</v>
      </c>
      <c r="F157" s="30">
        <f t="shared" si="15"/>
        <v>0.0030780767663280344</v>
      </c>
      <c r="G157" s="36">
        <f t="shared" si="16"/>
        <v>17.571905187009182</v>
      </c>
      <c r="H157" s="21">
        <f>121*$C$18/1000</f>
        <v>36.3</v>
      </c>
      <c r="I157" s="32">
        <f t="shared" si="17"/>
        <v>637.8601582884332</v>
      </c>
    </row>
    <row r="158" spans="1:10" s="21" customFormat="1" ht="12">
      <c r="A158" s="21">
        <v>9</v>
      </c>
      <c r="B158" s="21">
        <f t="shared" si="18"/>
        <v>0.15000000000000002</v>
      </c>
      <c r="C158" s="35">
        <f t="shared" si="13"/>
        <v>0.029702339892698635</v>
      </c>
      <c r="D158" s="66">
        <f t="shared" si="19"/>
        <v>1.71887440959047</v>
      </c>
      <c r="E158" s="67">
        <f t="shared" si="14"/>
        <v>1.723253488949951</v>
      </c>
      <c r="F158" s="30">
        <f t="shared" si="15"/>
        <v>0.003101041950275119</v>
      </c>
      <c r="G158" s="36">
        <f t="shared" si="16"/>
        <v>17.441774075792</v>
      </c>
      <c r="H158" s="21">
        <f>65.5*$C$18/1000</f>
        <v>19.65</v>
      </c>
      <c r="I158" s="32">
        <f t="shared" si="17"/>
        <v>342.7308605893128</v>
      </c>
      <c r="J158" s="20"/>
    </row>
    <row r="159" spans="1:9" s="21" customFormat="1" ht="12">
      <c r="A159" s="21">
        <v>10</v>
      </c>
      <c r="B159" s="21">
        <f t="shared" si="18"/>
        <v>0.20000000000000007</v>
      </c>
      <c r="C159" s="35">
        <f t="shared" si="13"/>
        <v>0.029904742397169528</v>
      </c>
      <c r="D159" s="66">
        <f t="shared" si="19"/>
        <v>1.7305874425242005</v>
      </c>
      <c r="E159" s="67">
        <f t="shared" si="14"/>
        <v>1.7349808695375264</v>
      </c>
      <c r="F159" s="30">
        <f t="shared" si="15"/>
        <v>0.0031220922195326468</v>
      </c>
      <c r="G159" s="36">
        <f t="shared" si="16"/>
        <v>17.324175358391095</v>
      </c>
      <c r="H159" s="21">
        <f>27.9*$C$18/1000</f>
        <v>8.37</v>
      </c>
      <c r="I159" s="32">
        <f t="shared" si="17"/>
        <v>145.00334774973345</v>
      </c>
    </row>
    <row r="160" spans="1:10" s="21" customFormat="1" ht="12">
      <c r="A160" s="21">
        <v>11</v>
      </c>
      <c r="B160" s="21">
        <f t="shared" si="18"/>
        <v>0.2500000000000001</v>
      </c>
      <c r="C160" s="35">
        <f t="shared" si="13"/>
        <v>0.030090952701282748</v>
      </c>
      <c r="D160" s="66">
        <f t="shared" si="19"/>
        <v>1.7413634328232326</v>
      </c>
      <c r="E160" s="67">
        <f t="shared" si="14"/>
        <v>1.7457698749444541</v>
      </c>
      <c r="F160" s="30">
        <f t="shared" si="15"/>
        <v>0.003141457496303587</v>
      </c>
      <c r="G160" s="36">
        <f>$C$19/((1-$C$25)*$F160)</f>
        <v>17.217381791698468</v>
      </c>
      <c r="H160" s="21">
        <f>9.2*$C$18/1000</f>
        <v>2.76</v>
      </c>
      <c r="I160" s="32">
        <f t="shared" si="17"/>
        <v>47.51997374508777</v>
      </c>
      <c r="J160" s="64"/>
    </row>
    <row r="161" spans="1:12" s="21" customFormat="1" ht="12">
      <c r="A161" s="21">
        <v>12</v>
      </c>
      <c r="B161" s="21">
        <f t="shared" si="18"/>
        <v>0.30000000000000004</v>
      </c>
      <c r="C161" s="35">
        <f t="shared" si="13"/>
        <v>0.030262839135848794</v>
      </c>
      <c r="D161" s="66">
        <f t="shared" si="19"/>
        <v>1.7513105007915697</v>
      </c>
      <c r="E161" s="67">
        <f t="shared" si="14"/>
        <v>1.7557287997334166</v>
      </c>
      <c r="F161" s="30">
        <f t="shared" si="15"/>
        <v>0.0031593323105477337</v>
      </c>
      <c r="G161" s="36">
        <f t="shared" si="16"/>
        <v>17.11996959473847</v>
      </c>
      <c r="H161" s="21">
        <f>3*$C$18/1000</f>
        <v>0.9</v>
      </c>
      <c r="I161" s="32">
        <f t="shared" si="17"/>
        <v>15.407972635264624</v>
      </c>
      <c r="J161" s="29" t="s">
        <v>371</v>
      </c>
      <c r="K161" s="29"/>
      <c r="L161" s="29"/>
    </row>
    <row r="162" spans="2:12" s="21" customFormat="1" ht="15">
      <c r="B162" s="101" t="s">
        <v>377</v>
      </c>
      <c r="C162" s="42">
        <f>($C$149*$H$149+$C$150*$H$150+$C$151*$H$151+$C$152*$H$152+$C$153*$H$153+$C$154*$H$154+$C$155*$H$155+$C$156*$H$156+$C$157*$H$157+$C$158*$H$158+$C$159*$H$159+$C$160*$H$160+$C$161*$H$161)*10^-3/$C$18</f>
        <v>2.8915143272252023E-05</v>
      </c>
      <c r="D162" s="67"/>
      <c r="E162" s="66">
        <f>($E$149*$H$149+$E$150*$H$150+$E$151*$H$151+$E$152*$H$152+$E$153*$H$153+$E$154*$H$154+$E$155*$H$155+$E$156*$H$156+$E$157*$H$157+$E$158*$H$158+$E$159*$H$159+$E$160*$H$160+$E$161*$H$161)/$C$18</f>
        <v>1.6776397502102915</v>
      </c>
      <c r="F162" s="51" t="s">
        <v>124</v>
      </c>
      <c r="G162" s="34"/>
      <c r="H162" s="21">
        <f>SUM(H149:H161)</f>
        <v>299.99999999999994</v>
      </c>
      <c r="I162" s="32">
        <f>SUM(I149:I161)</f>
        <v>5376.677225428595</v>
      </c>
      <c r="J162" s="44">
        <f>$I$162/$C$18</f>
        <v>17.922257418095317</v>
      </c>
      <c r="K162" s="29" t="s">
        <v>320</v>
      </c>
      <c r="L162" s="29"/>
    </row>
    <row r="163" spans="2:4" s="21" customFormat="1" ht="12">
      <c r="B163" s="50"/>
      <c r="C163" s="23"/>
      <c r="D163" s="23"/>
    </row>
    <row r="164" spans="2:5" s="21" customFormat="1" ht="12">
      <c r="B164" s="21" t="s">
        <v>125</v>
      </c>
      <c r="E164" s="21" t="s">
        <v>126</v>
      </c>
    </row>
    <row r="165" spans="2:8" s="33" customFormat="1" ht="15">
      <c r="B165" s="46" t="s">
        <v>127</v>
      </c>
      <c r="C165" s="46" t="s">
        <v>264</v>
      </c>
      <c r="D165" s="55"/>
      <c r="E165" s="46" t="s">
        <v>254</v>
      </c>
      <c r="F165" s="46" t="s">
        <v>266</v>
      </c>
      <c r="G165" s="46" t="s">
        <v>128</v>
      </c>
      <c r="H165" s="46" t="s">
        <v>267</v>
      </c>
    </row>
    <row r="166" spans="2:8" s="33" customFormat="1" ht="13.5">
      <c r="B166" s="33" t="s">
        <v>2</v>
      </c>
      <c r="C166" s="46" t="s">
        <v>265</v>
      </c>
      <c r="D166" s="58"/>
      <c r="E166" s="46"/>
      <c r="H166" s="56"/>
    </row>
    <row r="167" spans="3:8" s="33" customFormat="1" ht="14.25">
      <c r="C167" s="46"/>
      <c r="D167" s="58"/>
      <c r="E167" s="33" t="s">
        <v>2</v>
      </c>
      <c r="F167" s="33" t="s">
        <v>2</v>
      </c>
      <c r="G167" s="33" t="s">
        <v>40</v>
      </c>
      <c r="H167" s="33" t="s">
        <v>40</v>
      </c>
    </row>
    <row r="168" spans="1:8" s="21" customFormat="1" ht="12">
      <c r="A168" s="21">
        <v>0</v>
      </c>
      <c r="B168" s="31">
        <f>0.5927+0.4355*$E149^-0.5-7.201*10^-5*$E149+3.503*10^-6*$E149^2</f>
        <v>0.9432725128065055</v>
      </c>
      <c r="C168" s="48">
        <f aca="true" t="shared" si="20" ref="C168:C180">$H149*LN(($D$73*$D$68)/($B168*$C149))</f>
        <v>0.8985126690718647</v>
      </c>
      <c r="D168" s="49"/>
      <c r="E168" s="31">
        <f>10^(0.338+0.6386*LOG($F149)+0.2961*(LOG($F149))^2)</f>
        <v>4.372105997959103</v>
      </c>
      <c r="F168" s="38">
        <f>1-0.1359*LOG($D$71/$F149)</f>
        <v>0.9308522560477109</v>
      </c>
      <c r="G168" s="36">
        <f aca="true" t="shared" si="21" ref="G168:G180">$E168*$F168*$H$21</f>
        <v>22.057967005063954</v>
      </c>
      <c r="H168" s="32">
        <f aca="true" t="shared" si="22" ref="H168:H180">$H149*$G168</f>
        <v>19.85217030455756</v>
      </c>
    </row>
    <row r="169" spans="1:8" s="21" customFormat="1" ht="12">
      <c r="A169" s="21">
        <v>1</v>
      </c>
      <c r="B169" s="31">
        <f aca="true" t="shared" si="23" ref="B169:B180">0.5927+0.4355*$E150^-0.5-7.201*10^-5*$E150+3.503*10^-6*$E150^2</f>
        <v>0.9398168863261123</v>
      </c>
      <c r="C169" s="48">
        <f t="shared" si="20"/>
        <v>2.710868656199824</v>
      </c>
      <c r="D169" s="49"/>
      <c r="E169" s="31">
        <f aca="true" t="shared" si="24" ref="E169:E180">10^(0.338+0.6386*LOG($F150)+0.2961*(LOG($F150))^2)</f>
        <v>4.297380519547436</v>
      </c>
      <c r="F169" s="38">
        <f aca="true" t="shared" si="25" ref="F169:F180">1-0.1359*LOG($D$71/$F150)</f>
        <v>0.9320179311545814</v>
      </c>
      <c r="G169" s="36">
        <f t="shared" si="21"/>
        <v>21.708115481587495</v>
      </c>
      <c r="H169" s="32">
        <f t="shared" si="22"/>
        <v>59.91439872918148</v>
      </c>
    </row>
    <row r="170" spans="1:8" s="21" customFormat="1" ht="12">
      <c r="A170" s="21">
        <v>2</v>
      </c>
      <c r="B170" s="31">
        <f t="shared" si="23"/>
        <v>0.9368756053383311</v>
      </c>
      <c r="C170" s="48">
        <f t="shared" si="20"/>
        <v>8.104740878738435</v>
      </c>
      <c r="D170" s="49"/>
      <c r="E170" s="31">
        <f>10^(0.338+0.6386*LOG($F151)+0.2961*(LOG($F151))^2)</f>
        <v>4.234552765507936</v>
      </c>
      <c r="F170" s="38">
        <f>1-0.1359*LOG($D$71/$F151)</f>
        <v>0.9330192189156962</v>
      </c>
      <c r="G170" s="36">
        <f t="shared" si="21"/>
        <v>21.413723130783225</v>
      </c>
      <c r="H170" s="32">
        <f t="shared" si="22"/>
        <v>179.23286260465557</v>
      </c>
    </row>
    <row r="171" spans="1:8" s="21" customFormat="1" ht="12">
      <c r="A171" s="21">
        <v>3</v>
      </c>
      <c r="B171" s="31">
        <f>0.5927+0.4355*$E152^-0.5-7.201*10^-5*$E152+3.503*10^-6*$E152^2</f>
        <v>0.9343415297018933</v>
      </c>
      <c r="C171" s="48">
        <f t="shared" si="20"/>
        <v>18.789954479153028</v>
      </c>
      <c r="D171" s="49"/>
      <c r="E171" s="31">
        <f t="shared" si="24"/>
        <v>4.18099087512304</v>
      </c>
      <c r="F171" s="38">
        <f t="shared" si="25"/>
        <v>0.9338887206916049</v>
      </c>
      <c r="G171" s="36">
        <f t="shared" si="21"/>
        <v>21.162569355996226</v>
      </c>
      <c r="H171" s="32">
        <f t="shared" si="22"/>
        <v>415.84448784532583</v>
      </c>
    </row>
    <row r="172" spans="1:8" s="21" customFormat="1" ht="12">
      <c r="A172" s="21">
        <v>4</v>
      </c>
      <c r="B172" s="31">
        <f t="shared" si="23"/>
        <v>0.9321354000000035</v>
      </c>
      <c r="C172" s="48">
        <f t="shared" si="20"/>
        <v>34.326532518081976</v>
      </c>
      <c r="D172" s="49"/>
      <c r="E172" s="31">
        <f>10^(0.338+0.6386*LOG($F153)+0.2961*(LOG($F153))^2)</f>
        <v>4.134785880506248</v>
      </c>
      <c r="F172" s="38">
        <f t="shared" si="25"/>
        <v>0.9346509261536738</v>
      </c>
      <c r="G172" s="36">
        <f t="shared" si="21"/>
        <v>20.945778655921657</v>
      </c>
      <c r="H172" s="32">
        <f t="shared" si="22"/>
        <v>760.3317652099561</v>
      </c>
    </row>
    <row r="173" spans="1:8" s="21" customFormat="1" ht="12">
      <c r="A173" s="21">
        <v>5</v>
      </c>
      <c r="B173" s="31">
        <f>0.5927+0.4355*$E154^-0.5-7.201*10^-5*$E154+3.503*10^-6*$E154^2</f>
        <v>0.9301973081205747</v>
      </c>
      <c r="C173" s="48">
        <f t="shared" si="20"/>
        <v>49.069369930731725</v>
      </c>
      <c r="D173" s="49"/>
      <c r="E173" s="31">
        <f t="shared" si="24"/>
        <v>4.094519476274519</v>
      </c>
      <c r="F173" s="38">
        <f t="shared" si="25"/>
        <v>0.9353245949726607</v>
      </c>
      <c r="G173" s="36">
        <f t="shared" si="21"/>
        <v>20.756749321581164</v>
      </c>
      <c r="H173" s="32">
        <f t="shared" si="22"/>
        <v>1087.8612319440688</v>
      </c>
    </row>
    <row r="174" spans="1:8" s="21" customFormat="1" ht="12">
      <c r="A174" s="21">
        <v>6</v>
      </c>
      <c r="B174" s="31">
        <f t="shared" si="23"/>
        <v>0.9284811226958026</v>
      </c>
      <c r="C174" s="48">
        <f t="shared" si="20"/>
        <v>54.950641773531714</v>
      </c>
      <c r="D174" s="49"/>
      <c r="E174" s="31">
        <f t="shared" si="24"/>
        <v>4.059115902883338</v>
      </c>
      <c r="F174" s="38">
        <f t="shared" si="25"/>
        <v>0.9359243439855588</v>
      </c>
      <c r="G174" s="36">
        <f t="shared" si="21"/>
        <v>20.590469077147368</v>
      </c>
      <c r="H174" s="32">
        <f t="shared" si="22"/>
        <v>1219.367578748667</v>
      </c>
    </row>
    <row r="175" spans="1:8" s="21" customFormat="1" ht="12">
      <c r="A175" s="21">
        <v>7</v>
      </c>
      <c r="B175" s="31">
        <f t="shared" si="23"/>
        <v>0.926950738975001</v>
      </c>
      <c r="C175" s="48">
        <f t="shared" si="20"/>
        <v>48.23905940768272</v>
      </c>
      <c r="D175" s="49"/>
      <c r="E175" s="31">
        <f t="shared" si="24"/>
        <v>4.027744426240365</v>
      </c>
      <c r="F175" s="38">
        <f t="shared" si="25"/>
        <v>0.9364617334003319</v>
      </c>
      <c r="G175" s="36">
        <f t="shared" si="21"/>
        <v>20.443063867137464</v>
      </c>
      <c r="H175" s="32">
        <f t="shared" si="22"/>
        <v>1071.4209772766744</v>
      </c>
    </row>
    <row r="176" spans="1:8" s="21" customFormat="1" ht="12">
      <c r="A176" s="21">
        <v>8</v>
      </c>
      <c r="B176" s="31">
        <f t="shared" si="23"/>
        <v>0.9255774918148119</v>
      </c>
      <c r="C176" s="48">
        <f t="shared" si="20"/>
        <v>33.16596719943542</v>
      </c>
      <c r="D176" s="49"/>
      <c r="E176" s="31">
        <f t="shared" si="24"/>
        <v>3.9997533368872413</v>
      </c>
      <c r="F176" s="38">
        <f>1-0.1359*LOG($D$71/$F157)</f>
        <v>0.9369460276328426</v>
      </c>
      <c r="G176" s="36">
        <f t="shared" si="21"/>
        <v>20.311492101141834</v>
      </c>
      <c r="H176" s="32">
        <f t="shared" si="22"/>
        <v>737.3071632714485</v>
      </c>
    </row>
    <row r="177" spans="1:8" s="21" customFormat="1" ht="12">
      <c r="A177" s="21">
        <v>9</v>
      </c>
      <c r="B177" s="31">
        <f t="shared" si="23"/>
        <v>0.9243383311896425</v>
      </c>
      <c r="C177" s="48">
        <f t="shared" si="20"/>
        <v>17.833182300475343</v>
      </c>
      <c r="D177" s="49"/>
      <c r="E177" s="31">
        <f t="shared" si="24"/>
        <v>3.9746241915532563</v>
      </c>
      <c r="F177" s="38">
        <f t="shared" si="25"/>
        <v>0.9373847392679655</v>
      </c>
      <c r="G177" s="36">
        <f t="shared" si="21"/>
        <v>20.193332437849403</v>
      </c>
      <c r="H177" s="32">
        <f t="shared" si="22"/>
        <v>396.79898240374075</v>
      </c>
    </row>
    <row r="178" spans="1:8" s="21" customFormat="1" ht="12">
      <c r="A178" s="21">
        <v>10</v>
      </c>
      <c r="B178" s="31">
        <f t="shared" si="23"/>
        <v>0.9232145100484542</v>
      </c>
      <c r="C178" s="48">
        <f t="shared" si="20"/>
        <v>7.549458648378806</v>
      </c>
      <c r="D178" s="49"/>
      <c r="E178" s="31">
        <f t="shared" si="24"/>
        <v>3.9519394066108524</v>
      </c>
      <c r="F178" s="38">
        <f t="shared" si="25"/>
        <v>0.9377840251098726</v>
      </c>
      <c r="G178" s="36">
        <f t="shared" si="21"/>
        <v>20.086633341428733</v>
      </c>
      <c r="H178" s="32">
        <f t="shared" si="22"/>
        <v>168.12512106775847</v>
      </c>
    </row>
    <row r="179" spans="1:10" s="21" customFormat="1" ht="12">
      <c r="A179" s="21">
        <v>11</v>
      </c>
      <c r="B179" s="31">
        <f t="shared" si="23"/>
        <v>0.922190624024286</v>
      </c>
      <c r="C179" s="48">
        <f t="shared" si="20"/>
        <v>2.475357253924649</v>
      </c>
      <c r="D179" s="49"/>
      <c r="E179" s="31">
        <f t="shared" si="24"/>
        <v>3.9313588691064534</v>
      </c>
      <c r="F179" s="38">
        <f t="shared" si="25"/>
        <v>0.9381489792770439</v>
      </c>
      <c r="G179" s="36">
        <f t="shared" si="21"/>
        <v>19.98980440260461</v>
      </c>
      <c r="H179" s="32">
        <f t="shared" si="22"/>
        <v>55.17186015118872</v>
      </c>
      <c r="J179" s="64"/>
    </row>
    <row r="180" spans="1:11" s="21" customFormat="1" ht="12">
      <c r="A180" s="21">
        <v>12</v>
      </c>
      <c r="B180" s="31">
        <f t="shared" si="23"/>
        <v>0.9212538975424878</v>
      </c>
      <c r="C180" s="48">
        <f t="shared" si="20"/>
        <v>0.8029699848037744</v>
      </c>
      <c r="D180" s="49"/>
      <c r="E180" s="31">
        <f t="shared" si="24"/>
        <v>3.912602767734299</v>
      </c>
      <c r="F180" s="38">
        <f t="shared" si="25"/>
        <v>0.9384838533113312</v>
      </c>
      <c r="G180" s="36">
        <f t="shared" si="21"/>
        <v>19.901536495506637</v>
      </c>
      <c r="H180" s="32">
        <f t="shared" si="22"/>
        <v>17.911382845955973</v>
      </c>
      <c r="I180" s="29" t="s">
        <v>372</v>
      </c>
      <c r="J180" s="29"/>
      <c r="K180" s="29"/>
    </row>
    <row r="181" spans="3:11" s="21" customFormat="1" ht="14.25">
      <c r="C181" s="48">
        <f>SUM(C168:C180)</f>
        <v>278.9166157002092</v>
      </c>
      <c r="H181" s="32">
        <f>SUM(H168:H180)</f>
        <v>6189.139982403178</v>
      </c>
      <c r="I181" s="44">
        <f>$H$181/$C$18</f>
        <v>20.630466608010593</v>
      </c>
      <c r="J181" s="29" t="s">
        <v>320</v>
      </c>
      <c r="K181" s="29"/>
    </row>
    <row r="182" s="21" customFormat="1" ht="12"/>
    <row r="183" s="13" customFormat="1" ht="15.75" customHeight="1">
      <c r="B183" s="13" t="s">
        <v>18</v>
      </c>
    </row>
    <row r="184" spans="2:5" s="21" customFormat="1" ht="12">
      <c r="B184" s="127" t="s">
        <v>129</v>
      </c>
      <c r="C184" s="128"/>
      <c r="D184" s="127" t="s">
        <v>130</v>
      </c>
      <c r="E184" s="128"/>
    </row>
    <row r="185" spans="2:10" s="33" customFormat="1" ht="13.5">
      <c r="B185" s="33" t="s">
        <v>131</v>
      </c>
      <c r="C185" s="33" t="s">
        <v>131</v>
      </c>
      <c r="D185" s="33" t="s">
        <v>131</v>
      </c>
      <c r="E185" s="33" t="s">
        <v>131</v>
      </c>
      <c r="F185" s="33" t="s">
        <v>132</v>
      </c>
      <c r="G185" s="33" t="s">
        <v>268</v>
      </c>
      <c r="H185" s="33" t="s">
        <v>269</v>
      </c>
      <c r="I185" s="33" t="s">
        <v>133</v>
      </c>
      <c r="J185" s="33" t="s">
        <v>134</v>
      </c>
    </row>
    <row r="186" spans="2:10" s="33" customFormat="1" ht="13.5">
      <c r="B186" s="33" t="s">
        <v>271</v>
      </c>
      <c r="C186" s="33" t="s">
        <v>272</v>
      </c>
      <c r="D186" s="33" t="s">
        <v>271</v>
      </c>
      <c r="E186" s="33" t="s">
        <v>273</v>
      </c>
      <c r="G186" s="59"/>
      <c r="I186" s="33" t="s">
        <v>135</v>
      </c>
      <c r="J186" s="33" t="s">
        <v>136</v>
      </c>
    </row>
    <row r="187" spans="2:9" s="33" customFormat="1" ht="13.5">
      <c r="B187" s="33" t="s">
        <v>107</v>
      </c>
      <c r="C187" s="33" t="s">
        <v>108</v>
      </c>
      <c r="D187" s="33" t="s">
        <v>137</v>
      </c>
      <c r="E187" s="33" t="s">
        <v>138</v>
      </c>
      <c r="I187" s="33" t="s">
        <v>139</v>
      </c>
    </row>
    <row r="188" spans="2:10" s="33" customFormat="1" ht="14.25">
      <c r="B188" s="33" t="s">
        <v>40</v>
      </c>
      <c r="C188" s="33" t="s">
        <v>1</v>
      </c>
      <c r="D188" s="33" t="s">
        <v>40</v>
      </c>
      <c r="E188" s="33" t="s">
        <v>1</v>
      </c>
      <c r="F188" s="33" t="s">
        <v>2</v>
      </c>
      <c r="G188" s="33" t="s">
        <v>111</v>
      </c>
      <c r="H188" s="33" t="s">
        <v>111</v>
      </c>
      <c r="I188" s="33" t="s">
        <v>111</v>
      </c>
      <c r="J188" s="33" t="s">
        <v>111</v>
      </c>
    </row>
    <row r="189" spans="2:10" s="21" customFormat="1" ht="12">
      <c r="B189" s="32">
        <f>($C$81+$C$89+$C$72)*$C$18</f>
        <v>14704.000399035369</v>
      </c>
      <c r="C189" s="32">
        <f>2*($H$19-1)*$I$12*$C$18*LN(($C$73*$C$68)/($C$82*$C$77))</f>
        <v>0</v>
      </c>
      <c r="D189" s="32">
        <f>$I$162+$H$181+$D$72*$C$18</f>
        <v>13377.018833805641</v>
      </c>
      <c r="E189" s="32">
        <f>2*($H$19-1)*$I$12*$C$181</f>
        <v>13.044032343315019</v>
      </c>
      <c r="F189" s="35">
        <f>$D$189/$B$189</f>
        <v>0.9097537044873325</v>
      </c>
      <c r="G189" s="35">
        <f>-($C$189-$E$189)/$B$189</f>
        <v>0.0008871077250630889</v>
      </c>
      <c r="H189" s="35">
        <f>($F$189-1)*$C$15+$G$189</f>
        <v>0.00043587624749975146</v>
      </c>
      <c r="I189" s="35">
        <f>2*((3-2*$F$189)*$C$15-2*$G$189)</f>
        <v>0.008256495010000996</v>
      </c>
      <c r="J189" s="35">
        <f>3*(($F$189-2)*$C$15+$G$189)</f>
        <v>-0.013692371257500745</v>
      </c>
    </row>
    <row r="190" s="21" customFormat="1" ht="12"/>
    <row r="191" spans="2:10" s="21" customFormat="1" ht="15">
      <c r="B191" s="55" t="s">
        <v>275</v>
      </c>
      <c r="C191" s="55" t="s">
        <v>185</v>
      </c>
      <c r="D191" s="55" t="s">
        <v>186</v>
      </c>
      <c r="E191" s="55" t="s">
        <v>187</v>
      </c>
      <c r="F191" s="102" t="s">
        <v>347</v>
      </c>
      <c r="G191" s="102" t="s">
        <v>348</v>
      </c>
      <c r="H191" s="102" t="s">
        <v>349</v>
      </c>
      <c r="I191" s="102" t="s">
        <v>350</v>
      </c>
      <c r="J191" s="102" t="s">
        <v>373</v>
      </c>
    </row>
    <row r="192" spans="3:10" s="21" customFormat="1" ht="13.5">
      <c r="C192" s="55"/>
      <c r="D192" s="55"/>
      <c r="E192" s="55"/>
      <c r="F192" s="103" t="s">
        <v>351</v>
      </c>
      <c r="G192" s="103" t="s">
        <v>352</v>
      </c>
      <c r="H192" s="103" t="s">
        <v>353</v>
      </c>
      <c r="I192" s="103" t="s">
        <v>354</v>
      </c>
      <c r="J192" s="103" t="s">
        <v>374</v>
      </c>
    </row>
    <row r="193" spans="2:10" s="21" customFormat="1" ht="13.5">
      <c r="B193" s="58" t="s">
        <v>250</v>
      </c>
      <c r="C193" s="46"/>
      <c r="D193" s="46"/>
      <c r="E193" s="46"/>
      <c r="F193" s="29"/>
      <c r="G193" s="102" t="s">
        <v>355</v>
      </c>
      <c r="H193" s="102" t="s">
        <v>356</v>
      </c>
      <c r="I193" s="29"/>
      <c r="J193" s="29"/>
    </row>
    <row r="194" spans="2:10" s="21" customFormat="1" ht="14.25">
      <c r="B194" s="57" t="s">
        <v>2</v>
      </c>
      <c r="C194" s="33" t="s">
        <v>2</v>
      </c>
      <c r="D194" s="33" t="s">
        <v>2</v>
      </c>
      <c r="E194" s="33" t="s">
        <v>2</v>
      </c>
      <c r="F194" s="102" t="s">
        <v>183</v>
      </c>
      <c r="G194" s="102" t="s">
        <v>183</v>
      </c>
      <c r="H194" s="102" t="s">
        <v>183</v>
      </c>
      <c r="I194" s="102" t="s">
        <v>2</v>
      </c>
      <c r="J194" s="102" t="s">
        <v>2</v>
      </c>
    </row>
    <row r="195" spans="2:10" s="21" customFormat="1" ht="12">
      <c r="B195" s="111">
        <v>0.56343</v>
      </c>
      <c r="C195" s="53">
        <f>($D$143+$E$143*$B$195+$F$143*$B$195^2)/($G$143+$H$143*$B$195+$I$143*$B$195^2)</f>
        <v>0.8494477195879147</v>
      </c>
      <c r="D195" s="53">
        <f>($H$189+$I$189*$B$195+$J$189*$B$195^2)/((2*$B$195-3*$B$195^2)*$C$15)</f>
        <v>0.8494490590774626</v>
      </c>
      <c r="E195" s="53">
        <f>$C$195</f>
        <v>0.8494477195879147</v>
      </c>
      <c r="F195" s="112">
        <f>($B$143*$E$195)*$C$15+$C$143</f>
        <v>0.005435880125600228</v>
      </c>
      <c r="G195" s="112">
        <f>2*((3-(2*$B$143+1)*$E$195)*$C$15-2*$C$143)</f>
        <v>-0.00023799769828005725</v>
      </c>
      <c r="H195" s="112">
        <f>-3*((2-($B$143+1)*$E$195)*$C$15-$C$143)</f>
        <v>-0.0009506438293805973</v>
      </c>
      <c r="I195" s="70">
        <f>($F$195+$G$195+$H$195)/$C$15</f>
        <v>0.8494477195879147</v>
      </c>
      <c r="J195" s="70">
        <f>$F$195/$C$15</f>
        <v>1.0871760251200455</v>
      </c>
    </row>
    <row r="196" s="21" customFormat="1" ht="12"/>
    <row r="197" spans="3:6" s="21" customFormat="1" ht="15">
      <c r="C197" s="55" t="s">
        <v>292</v>
      </c>
      <c r="D197" s="53">
        <f>$C$195-$D$195</f>
        <v>-1.339489547946826E-06</v>
      </c>
      <c r="E197" s="47" t="s">
        <v>140</v>
      </c>
      <c r="F197" s="25" t="s">
        <v>276</v>
      </c>
    </row>
    <row r="198" spans="2:6" s="21" customFormat="1" ht="12">
      <c r="B198" s="20"/>
      <c r="D198" s="53"/>
      <c r="E198" s="47"/>
      <c r="F198" s="26"/>
    </row>
    <row r="199" spans="2:6" s="13" customFormat="1" ht="16.5" customHeight="1">
      <c r="B199" s="13" t="s">
        <v>141</v>
      </c>
      <c r="D199" s="16"/>
      <c r="E199" s="17"/>
      <c r="F199" s="18"/>
    </row>
    <row r="200" spans="2:6" s="21" customFormat="1" ht="12">
      <c r="B200" s="54" t="s">
        <v>289</v>
      </c>
      <c r="C200" s="52"/>
      <c r="D200" s="53"/>
      <c r="E200" s="47"/>
      <c r="F200" s="26"/>
    </row>
    <row r="201" spans="2:5" s="21" customFormat="1" ht="13.5">
      <c r="B201" s="20" t="s">
        <v>203</v>
      </c>
      <c r="C201" s="31">
        <f>$E$162</f>
        <v>1.6776397502102915</v>
      </c>
      <c r="D201" s="21" t="s">
        <v>73</v>
      </c>
      <c r="E201" s="20"/>
    </row>
    <row r="202" spans="2:5" s="21" customFormat="1" ht="12">
      <c r="B202" s="21" t="s">
        <v>143</v>
      </c>
      <c r="C202" s="30">
        <f>1.2*10^-2-1.224*10^-4*$I$10+(2.107*10^-5-1.529*10^-7*$I$10)*$C$201+(-1.392*10^-8+1.123*10^-10*$I$10)*$C$201^2+(5.819*10^-10-6.769*10^-12*$I$10)*$C$201^3</f>
        <v>0.00896890576425423</v>
      </c>
      <c r="D202" s="21" t="s">
        <v>206</v>
      </c>
      <c r="E202" s="34"/>
    </row>
    <row r="203" spans="2:10" s="21" customFormat="1" ht="15">
      <c r="B203" s="41" t="s">
        <v>380</v>
      </c>
      <c r="C203" s="42">
        <f>32*$C$55*$C$21*$C$202/$C$26^2</f>
        <v>38225.189422086034</v>
      </c>
      <c r="D203" s="29" t="s">
        <v>358</v>
      </c>
      <c r="E203" s="120">
        <f>0.1*$C$203</f>
        <v>3822.5189422086037</v>
      </c>
      <c r="F203" s="29" t="s">
        <v>17</v>
      </c>
      <c r="G203" s="114">
        <f>1.01972*10^-5*$E$203</f>
        <v>0.038978990157489575</v>
      </c>
      <c r="H203" s="29" t="s">
        <v>359</v>
      </c>
      <c r="I203" s="117">
        <f>$G$203*10^3</f>
        <v>38.97899015748958</v>
      </c>
      <c r="J203" s="64" t="s">
        <v>13</v>
      </c>
    </row>
    <row r="204" spans="2:9" s="21" customFormat="1" ht="12">
      <c r="B204" s="21" t="s">
        <v>146</v>
      </c>
      <c r="C204" s="30"/>
      <c r="E204" s="121"/>
      <c r="G204" s="115"/>
      <c r="H204" s="23"/>
      <c r="I204" s="118"/>
    </row>
    <row r="205" spans="2:9" s="21" customFormat="1" ht="13.5">
      <c r="B205" s="20" t="s">
        <v>202</v>
      </c>
      <c r="C205" s="31">
        <f>$C$79</f>
        <v>2.0046529165156968</v>
      </c>
      <c r="D205" s="21" t="s">
        <v>73</v>
      </c>
      <c r="E205" s="121"/>
      <c r="G205" s="115"/>
      <c r="H205" s="23"/>
      <c r="I205" s="118"/>
    </row>
    <row r="206" spans="2:9" s="21" customFormat="1" ht="13.5">
      <c r="B206" s="21" t="s">
        <v>147</v>
      </c>
      <c r="C206" s="30">
        <f>1.2*10^-2-1.224*10^-4*$I$10+(2.107*10^-5-1.529*10^-7*$I$10)*$C$205+(-1.392*10^-8+1.123*10^-10*$I$10)*$C$205^2+(5.819*10^-10-6.769*10^-12*$I$10)*$C$205^3</f>
        <v>0.008974533918610238</v>
      </c>
      <c r="D206" s="21" t="s">
        <v>206</v>
      </c>
      <c r="E206" s="122"/>
      <c r="G206" s="115"/>
      <c r="H206" s="23"/>
      <c r="I206" s="118"/>
    </row>
    <row r="207" spans="2:10" s="21" customFormat="1" ht="15">
      <c r="B207" s="20" t="s">
        <v>199</v>
      </c>
      <c r="C207" s="30">
        <f>32*$C$33*$C$30*$C$206/$C$32^2</f>
        <v>7816.569369248379</v>
      </c>
      <c r="D207" s="21" t="s">
        <v>144</v>
      </c>
      <c r="E207" s="121">
        <f>0.1*$C$207</f>
        <v>781.656936924838</v>
      </c>
      <c r="F207" s="21" t="s">
        <v>17</v>
      </c>
      <c r="G207" s="115">
        <f>1.01972*10^-5*$E$207</f>
        <v>0.007970712117209958</v>
      </c>
      <c r="H207" s="23" t="s">
        <v>145</v>
      </c>
      <c r="I207" s="118">
        <f>$G$207*10^3</f>
        <v>7.970712117209958</v>
      </c>
      <c r="J207" s="21" t="s">
        <v>13</v>
      </c>
    </row>
    <row r="208" spans="2:9" s="21" customFormat="1" ht="12">
      <c r="B208" s="21" t="s">
        <v>142</v>
      </c>
      <c r="C208" s="30"/>
      <c r="E208" s="121"/>
      <c r="G208" s="115"/>
      <c r="H208" s="23"/>
      <c r="I208" s="118"/>
    </row>
    <row r="209" spans="2:9" s="21" customFormat="1" ht="13.5">
      <c r="B209" s="20" t="s">
        <v>148</v>
      </c>
      <c r="C209" s="31">
        <f>$C$41</f>
        <v>1.4591909088627917</v>
      </c>
      <c r="D209" s="21" t="s">
        <v>73</v>
      </c>
      <c r="E209" s="121"/>
      <c r="G209" s="115"/>
      <c r="H209" s="23"/>
      <c r="I209" s="118"/>
    </row>
    <row r="210" spans="2:9" s="21" customFormat="1" ht="13.5">
      <c r="B210" s="21" t="s">
        <v>166</v>
      </c>
      <c r="C210" s="30">
        <f>1.2*10^-2-1.224*10^-4*$I$10+(2.107*10^-5-1.529*10^-7*$I$10)*$C$209+(-1.392*10^-8+1.123*10^-10*$I$10)*$C$209^2+(5.819*10^-10-6.769*10^-12*$I$10)*$C$209^3</f>
        <v>0.008965145016208867</v>
      </c>
      <c r="D210" s="21" t="s">
        <v>207</v>
      </c>
      <c r="E210" s="122"/>
      <c r="G210" s="115"/>
      <c r="H210" s="23"/>
      <c r="I210" s="118"/>
    </row>
    <row r="211" spans="2:10" s="21" customFormat="1" ht="15">
      <c r="B211" s="22" t="s">
        <v>205</v>
      </c>
      <c r="C211" s="30">
        <f>32*$C$34*$C$30*$C$210/$C$32^2</f>
        <v>7796.17353576498</v>
      </c>
      <c r="D211" s="21" t="s">
        <v>149</v>
      </c>
      <c r="E211" s="121">
        <f>0.1*$C$211</f>
        <v>779.6173535764981</v>
      </c>
      <c r="F211" s="21" t="s">
        <v>150</v>
      </c>
      <c r="G211" s="115">
        <f>1.01972*10^-5*$E$211</f>
        <v>0.007949914077890268</v>
      </c>
      <c r="H211" s="23" t="s">
        <v>151</v>
      </c>
      <c r="I211" s="118">
        <f>$G$211*10^3</f>
        <v>7.949914077890268</v>
      </c>
      <c r="J211" s="21" t="s">
        <v>152</v>
      </c>
    </row>
    <row r="212" spans="2:10" s="21" customFormat="1" ht="15">
      <c r="B212" s="41" t="s">
        <v>357</v>
      </c>
      <c r="C212" s="42">
        <f>$C$207+$C$211</f>
        <v>15612.74290501336</v>
      </c>
      <c r="D212" s="29" t="s">
        <v>358</v>
      </c>
      <c r="E212" s="120">
        <f>$E$207+$E$211</f>
        <v>1561.274290501336</v>
      </c>
      <c r="F212" s="29" t="s">
        <v>17</v>
      </c>
      <c r="G212" s="114">
        <f>$G$207+$G$211</f>
        <v>0.015920626195100228</v>
      </c>
      <c r="H212" s="29" t="s">
        <v>359</v>
      </c>
      <c r="I212" s="117">
        <f>$I$207+$I$211</f>
        <v>15.920626195100226</v>
      </c>
      <c r="J212" s="29" t="s">
        <v>13</v>
      </c>
    </row>
    <row r="213" spans="2:10" s="21" customFormat="1" ht="15">
      <c r="B213" s="41" t="s">
        <v>360</v>
      </c>
      <c r="C213" s="42">
        <f>$C$203+$C$212</f>
        <v>53837.93232709939</v>
      </c>
      <c r="D213" s="29" t="s">
        <v>358</v>
      </c>
      <c r="E213" s="120">
        <f>$E$203+$E$212</f>
        <v>5383.79323270994</v>
      </c>
      <c r="F213" s="29" t="s">
        <v>17</v>
      </c>
      <c r="G213" s="114">
        <f>$G$203+$G$212</f>
        <v>0.0548996163525898</v>
      </c>
      <c r="H213" s="29" t="s">
        <v>359</v>
      </c>
      <c r="I213" s="117">
        <f>$I$203+$I$212</f>
        <v>54.8996163525898</v>
      </c>
      <c r="J213" s="29" t="s">
        <v>13</v>
      </c>
    </row>
    <row r="214" spans="2:9" s="21" customFormat="1" ht="12">
      <c r="B214" s="54" t="s">
        <v>290</v>
      </c>
      <c r="C214" s="52"/>
      <c r="D214" s="53"/>
      <c r="E214" s="121"/>
      <c r="G214" s="115"/>
      <c r="I214" s="118"/>
    </row>
    <row r="215" spans="2:9" s="21" customFormat="1" ht="13.5">
      <c r="B215" s="20" t="s">
        <v>153</v>
      </c>
      <c r="C215" s="38">
        <f>$D$70</f>
        <v>5.002472650836162</v>
      </c>
      <c r="D215" s="21" t="s">
        <v>154</v>
      </c>
      <c r="E215" s="123"/>
      <c r="G215" s="115"/>
      <c r="I215" s="118"/>
    </row>
    <row r="216" spans="2:9" s="21" customFormat="1" ht="12">
      <c r="B216" s="21" t="s">
        <v>155</v>
      </c>
      <c r="C216" s="30">
        <f>1.2*10^-2-1.224*10^-4*$I$10+(2.107*10^-5-1.529*10^-7*$I$10)*$C$215+(-1.392*10^-8+1.123*10^-10*$I$10)*$C$215^2+(5.819*10^-10-6.769*10^-12*$I$10)*$C$215^3</f>
        <v>0.009026053720646974</v>
      </c>
      <c r="D216" s="21" t="s">
        <v>207</v>
      </c>
      <c r="E216" s="122"/>
      <c r="G216" s="115"/>
      <c r="I216" s="118"/>
    </row>
    <row r="217" spans="2:10" s="23" customFormat="1" ht="15">
      <c r="B217" s="41" t="s">
        <v>361</v>
      </c>
      <c r="C217" s="42">
        <f>32*$C$58*$C$21*$C$216/$C$26^2</f>
        <v>3884.21529044325</v>
      </c>
      <c r="D217" s="29" t="s">
        <v>358</v>
      </c>
      <c r="E217" s="120">
        <f>0.1*$C$217</f>
        <v>388.42152904432504</v>
      </c>
      <c r="F217" s="29" t="s">
        <v>17</v>
      </c>
      <c r="G217" s="114">
        <f>1.01972*10^-5*$E$217</f>
        <v>0.003960812015970792</v>
      </c>
      <c r="H217" s="29" t="s">
        <v>359</v>
      </c>
      <c r="I217" s="117">
        <f>$G$217*10^3</f>
        <v>3.9608120159707916</v>
      </c>
      <c r="J217" s="29" t="s">
        <v>13</v>
      </c>
    </row>
    <row r="218" spans="2:9" s="23" customFormat="1" ht="12">
      <c r="B218" s="21" t="s">
        <v>157</v>
      </c>
      <c r="C218" s="28"/>
      <c r="E218" s="124"/>
      <c r="G218" s="116"/>
      <c r="I218" s="119"/>
    </row>
    <row r="219" spans="2:9" s="23" customFormat="1" ht="13.5">
      <c r="B219" s="20" t="s">
        <v>158</v>
      </c>
      <c r="C219" s="38">
        <f>$C$70</f>
        <v>2.0046529165156968</v>
      </c>
      <c r="D219" s="21" t="s">
        <v>154</v>
      </c>
      <c r="E219" s="121"/>
      <c r="G219" s="116"/>
      <c r="I219" s="119"/>
    </row>
    <row r="220" spans="2:9" s="23" customFormat="1" ht="13.5">
      <c r="B220" s="21" t="s">
        <v>159</v>
      </c>
      <c r="C220" s="30">
        <f>1.2*10^-2-1.224*10^-4*$I$10+(2.107*10^-5-1.529*10^-7*$I$10)*$C$219+(-1.392*10^-8+1.123*10^-10*$I$10)*$C$219^2+(5.819*10^-10-6.769*10^-12*$I$10)*$C$219^3</f>
        <v>0.008974533918610238</v>
      </c>
      <c r="D220" s="21" t="s">
        <v>206</v>
      </c>
      <c r="E220" s="122"/>
      <c r="G220" s="116"/>
      <c r="I220" s="119"/>
    </row>
    <row r="221" spans="2:10" s="23" customFormat="1" ht="15">
      <c r="B221" s="22" t="s">
        <v>200</v>
      </c>
      <c r="C221" s="28">
        <f>32*$F$33*$F$30*$C$220/$F$32^2</f>
        <v>3992.4890481044513</v>
      </c>
      <c r="D221" s="23" t="s">
        <v>156</v>
      </c>
      <c r="E221" s="124">
        <f>0.1*$C$221</f>
        <v>399.24890481044514</v>
      </c>
      <c r="F221" s="23" t="s">
        <v>150</v>
      </c>
      <c r="G221" s="116">
        <f>1.01972*10^-5*$E$221</f>
        <v>0.004071220932133072</v>
      </c>
      <c r="H221" s="23" t="s">
        <v>151</v>
      </c>
      <c r="I221" s="119">
        <f>$G$221*10^3</f>
        <v>4.0712209321330715</v>
      </c>
      <c r="J221" s="23" t="s">
        <v>152</v>
      </c>
    </row>
    <row r="222" spans="2:9" s="21" customFormat="1" ht="12">
      <c r="B222" s="21" t="s">
        <v>160</v>
      </c>
      <c r="C222" s="30"/>
      <c r="E222" s="121"/>
      <c r="G222" s="115"/>
      <c r="H222" s="23"/>
      <c r="I222" s="118"/>
    </row>
    <row r="223" spans="2:9" s="21" customFormat="1" ht="13.5">
      <c r="B223" s="20" t="s">
        <v>161</v>
      </c>
      <c r="C223" s="38">
        <f>$E$70</f>
        <v>7.315994313395821</v>
      </c>
      <c r="D223" s="21" t="s">
        <v>154</v>
      </c>
      <c r="E223" s="121"/>
      <c r="G223" s="115"/>
      <c r="H223" s="23"/>
      <c r="I223" s="118"/>
    </row>
    <row r="224" spans="2:9" s="21" customFormat="1" ht="13.5">
      <c r="B224" s="21" t="s">
        <v>162</v>
      </c>
      <c r="C224" s="30">
        <f>1.2*10^-2-1.224*10^-4*$I$10+(2.107*10^-5-1.529*10^-7*$I$10)*$C$223+(-1.392*10^-8+1.123*10^-10*$I$10)*$C$223^2+(5.819*10^-10-6.769*10^-12*$I$10)*$C$223^3</f>
        <v>0.009065749424113732</v>
      </c>
      <c r="D224" s="21" t="s">
        <v>207</v>
      </c>
      <c r="E224" s="122"/>
      <c r="G224" s="115"/>
      <c r="H224" s="23"/>
      <c r="I224" s="118"/>
    </row>
    <row r="225" spans="2:10" s="23" customFormat="1" ht="15">
      <c r="B225" s="22" t="s">
        <v>201</v>
      </c>
      <c r="C225" s="28">
        <f>32*$F$34*$F$30*$C$224/$F$32^2</f>
        <v>4096.176327574592</v>
      </c>
      <c r="D225" s="23" t="s">
        <v>156</v>
      </c>
      <c r="E225" s="124">
        <f>0.1*$C$225</f>
        <v>409.6176327574592</v>
      </c>
      <c r="F225" s="23" t="s">
        <v>150</v>
      </c>
      <c r="G225" s="116">
        <f>1.01972*10^-5*$E$225</f>
        <v>0.004176952924754364</v>
      </c>
      <c r="H225" s="23" t="s">
        <v>151</v>
      </c>
      <c r="I225" s="119">
        <f>$G$225*10^3</f>
        <v>4.176952924754364</v>
      </c>
      <c r="J225" s="23" t="s">
        <v>152</v>
      </c>
    </row>
    <row r="226" spans="2:10" s="23" customFormat="1" ht="15">
      <c r="B226" s="41" t="s">
        <v>357</v>
      </c>
      <c r="C226" s="42">
        <f>$C$221+$C$225</f>
        <v>8088.665375679043</v>
      </c>
      <c r="D226" s="29" t="s">
        <v>358</v>
      </c>
      <c r="E226" s="120">
        <f>$E$221+$E$225</f>
        <v>808.8665375679043</v>
      </c>
      <c r="F226" s="29" t="s">
        <v>17</v>
      </c>
      <c r="G226" s="114">
        <f>$G$221+$G$225</f>
        <v>0.008248173856887435</v>
      </c>
      <c r="H226" s="29" t="s">
        <v>359</v>
      </c>
      <c r="I226" s="117">
        <f>$I$221+$I$225</f>
        <v>8.248173856887435</v>
      </c>
      <c r="J226" s="29" t="s">
        <v>13</v>
      </c>
    </row>
    <row r="227" spans="2:10" s="23" customFormat="1" ht="15">
      <c r="B227" s="41" t="s">
        <v>362</v>
      </c>
      <c r="C227" s="42">
        <f>$C$217+$C$226</f>
        <v>11972.880666122293</v>
      </c>
      <c r="D227" s="29" t="s">
        <v>358</v>
      </c>
      <c r="E227" s="120">
        <f>$E$217+$E$226</f>
        <v>1197.2880666122294</v>
      </c>
      <c r="F227" s="29" t="s">
        <v>17</v>
      </c>
      <c r="G227" s="114">
        <f>$G$217+$G$226</f>
        <v>0.012208985872858227</v>
      </c>
      <c r="H227" s="29" t="s">
        <v>359</v>
      </c>
      <c r="I227" s="117">
        <f>$I$217+$I$226</f>
        <v>12.208985872858227</v>
      </c>
      <c r="J227" s="29" t="s">
        <v>13</v>
      </c>
    </row>
    <row r="228" spans="3:9" s="7" customFormat="1" ht="12">
      <c r="C228" s="8"/>
      <c r="E228" s="8"/>
      <c r="G228" s="6"/>
      <c r="I228" s="11"/>
    </row>
    <row r="229" spans="2:10" s="13" customFormat="1" ht="15.75" customHeight="1">
      <c r="B229" s="13" t="s">
        <v>163</v>
      </c>
      <c r="E229" s="14"/>
      <c r="F229" s="19"/>
      <c r="G229" s="15"/>
      <c r="H229" s="14"/>
      <c r="I229" s="15"/>
      <c r="J229" s="15"/>
    </row>
    <row r="230" spans="2:10" s="21" customFormat="1" ht="13.5">
      <c r="B230" s="23" t="s">
        <v>303</v>
      </c>
      <c r="C230" s="38">
        <v>0.595</v>
      </c>
      <c r="D230" s="23" t="s">
        <v>304</v>
      </c>
      <c r="E230" s="48">
        <v>83.5</v>
      </c>
      <c r="F230" s="23" t="s">
        <v>308</v>
      </c>
      <c r="G230" s="99">
        <v>0.7846</v>
      </c>
      <c r="I230" s="44"/>
      <c r="J230" s="29"/>
    </row>
    <row r="231" spans="2:7" s="21" customFormat="1" ht="13.5">
      <c r="B231" s="23" t="s">
        <v>305</v>
      </c>
      <c r="C231" s="38">
        <v>0.2731</v>
      </c>
      <c r="D231" s="23" t="s">
        <v>306</v>
      </c>
      <c r="E231" s="48">
        <v>24</v>
      </c>
      <c r="F231" s="23" t="s">
        <v>309</v>
      </c>
      <c r="G231" s="28">
        <v>0.008612</v>
      </c>
    </row>
    <row r="232" spans="2:8" s="21" customFormat="1" ht="13.5">
      <c r="B232" s="23" t="s">
        <v>307</v>
      </c>
      <c r="C232" s="38">
        <v>0.131</v>
      </c>
      <c r="D232" s="23"/>
      <c r="H232" s="20"/>
    </row>
    <row r="233" s="21" customFormat="1" ht="12">
      <c r="H233" s="20"/>
    </row>
    <row r="234" spans="2:5" s="21" customFormat="1" ht="15">
      <c r="B234" s="41" t="s">
        <v>363</v>
      </c>
      <c r="C234" s="29" t="s">
        <v>3</v>
      </c>
      <c r="D234" s="61">
        <f>$C$9*(1-3*$C$8)</f>
        <v>7</v>
      </c>
      <c r="E234" s="29" t="s">
        <v>364</v>
      </c>
    </row>
    <row r="235" spans="2:4" s="21" customFormat="1" ht="13.5">
      <c r="B235" s="26" t="s">
        <v>189</v>
      </c>
      <c r="C235" s="25"/>
      <c r="D235" s="49">
        <f>($C$230+$C$231*($I$10/25)+$C$232*($I$10/25)^2)*(($D$238^($G$230+$G$231*$D$234))/($C$11-$D$238))</f>
        <v>1.253186440822425</v>
      </c>
    </row>
    <row r="236" spans="2:4" s="21" customFormat="1" ht="13.5">
      <c r="B236" s="26" t="s">
        <v>190</v>
      </c>
      <c r="C236" s="25"/>
      <c r="D236" s="49">
        <f>(($C$19*$E$195)/($H$16*$C$21))*($D$234/($E$230+$E$231*$D$234))</f>
        <v>1.2531949186860496</v>
      </c>
    </row>
    <row r="237" spans="2:5" s="21" customFormat="1" ht="13.5">
      <c r="B237" s="26" t="s">
        <v>191</v>
      </c>
      <c r="D237" s="49">
        <f>$D$235-$D$236</f>
        <v>-8.477863624678506E-06</v>
      </c>
      <c r="E237" s="47" t="s">
        <v>11</v>
      </c>
    </row>
    <row r="238" spans="2:7" s="21" customFormat="1" ht="15">
      <c r="B238" s="26" t="s">
        <v>291</v>
      </c>
      <c r="C238" s="25" t="s">
        <v>184</v>
      </c>
      <c r="D238" s="110">
        <v>5.5675E-06</v>
      </c>
      <c r="E238" s="25" t="s">
        <v>164</v>
      </c>
      <c r="F238" s="25"/>
      <c r="G238" s="25" t="s">
        <v>378</v>
      </c>
    </row>
    <row r="239" spans="2:7" s="21" customFormat="1" ht="15">
      <c r="B239" s="29" t="s">
        <v>365</v>
      </c>
      <c r="C239" s="29" t="s">
        <v>183</v>
      </c>
      <c r="D239" s="126">
        <f>($C$230+$C$231*($I$10/25)+$C$232*($I$10/25)^2)*(($E$230+$E$231*$D$234)*$D$238^($G$230+$G$231*$D$234))/$E$195</f>
        <v>0.010757285319039146</v>
      </c>
      <c r="E239" s="70">
        <f>$D$239*100</f>
        <v>1.0757285319039145</v>
      </c>
      <c r="F239" s="29" t="s">
        <v>366</v>
      </c>
      <c r="G239" s="29" t="s">
        <v>165</v>
      </c>
    </row>
    <row r="240" spans="2:7" s="21" customFormat="1" ht="12">
      <c r="B240" s="64"/>
      <c r="C240" s="64"/>
      <c r="D240" s="63"/>
      <c r="E240" s="65"/>
      <c r="F240" s="64"/>
      <c r="G240" s="64"/>
    </row>
    <row r="241" s="21" customFormat="1" ht="12">
      <c r="F241" s="24"/>
    </row>
    <row r="242" spans="1:10" s="21" customFormat="1" ht="14.25">
      <c r="A242" s="45"/>
      <c r="B242" s="13" t="s">
        <v>212</v>
      </c>
      <c r="C242" s="45"/>
      <c r="D242" s="45"/>
      <c r="E242" s="45"/>
      <c r="F242" s="75"/>
      <c r="G242" s="45"/>
      <c r="H242" s="45"/>
      <c r="I242" s="45"/>
      <c r="J242" s="45"/>
    </row>
    <row r="243" spans="1:10" ht="14.25">
      <c r="A243" s="13"/>
      <c r="B243" s="13" t="s">
        <v>401</v>
      </c>
      <c r="C243" s="13"/>
      <c r="D243" s="13"/>
      <c r="E243" s="13"/>
      <c r="F243" s="76"/>
      <c r="G243" s="13"/>
      <c r="H243" s="77"/>
      <c r="I243" s="13"/>
      <c r="J243" s="78"/>
    </row>
    <row r="244" spans="1:10" ht="14.25">
      <c r="A244" s="13"/>
      <c r="B244" s="77"/>
      <c r="C244" s="77"/>
      <c r="D244" s="77"/>
      <c r="E244" s="77"/>
      <c r="F244" s="79"/>
      <c r="G244" s="77"/>
      <c r="H244" s="80"/>
      <c r="I244" s="77"/>
      <c r="J244" s="77"/>
    </row>
    <row r="245" spans="1:10" s="23" customFormat="1" ht="16.5">
      <c r="A245" s="81"/>
      <c r="B245" s="82" t="s">
        <v>16</v>
      </c>
      <c r="C245" s="83">
        <f>$C$15*100</f>
        <v>0.5</v>
      </c>
      <c r="D245" s="81" t="s">
        <v>213</v>
      </c>
      <c r="E245" s="82" t="s">
        <v>197</v>
      </c>
      <c r="F245" s="93">
        <f>$C$19</f>
        <v>0.05</v>
      </c>
      <c r="G245" s="81" t="s">
        <v>13</v>
      </c>
      <c r="H245" s="82" t="s">
        <v>173</v>
      </c>
      <c r="I245" s="84">
        <f>$C$29</f>
        <v>4</v>
      </c>
      <c r="J245" s="85" t="s">
        <v>13</v>
      </c>
    </row>
    <row r="246" spans="1:10" s="21" customFormat="1" ht="18.75">
      <c r="A246" s="45"/>
      <c r="B246" s="86" t="s">
        <v>214</v>
      </c>
      <c r="C246" s="87">
        <f>$C$12</f>
        <v>1999.9872</v>
      </c>
      <c r="D246" s="45" t="s">
        <v>215</v>
      </c>
      <c r="E246" s="86" t="s">
        <v>5</v>
      </c>
      <c r="F246" s="87">
        <f>$C$20</f>
        <v>100</v>
      </c>
      <c r="G246" s="45" t="s">
        <v>13</v>
      </c>
      <c r="H246" s="86" t="s">
        <v>176</v>
      </c>
      <c r="I246" s="88">
        <f>$F$29</f>
        <v>2</v>
      </c>
      <c r="J246" s="85" t="s">
        <v>13</v>
      </c>
    </row>
    <row r="247" spans="1:10" s="21" customFormat="1" ht="17.25">
      <c r="A247" s="45"/>
      <c r="B247" s="20" t="s">
        <v>270</v>
      </c>
      <c r="C247" s="87">
        <f>$C$14</f>
        <v>1999.9872</v>
      </c>
      <c r="D247" s="45" t="s">
        <v>215</v>
      </c>
      <c r="E247" s="86" t="s">
        <v>4</v>
      </c>
      <c r="F247" s="87">
        <f>$C$21</f>
        <v>100</v>
      </c>
      <c r="G247" s="45" t="s">
        <v>13</v>
      </c>
      <c r="H247" s="86" t="s">
        <v>174</v>
      </c>
      <c r="I247" s="88">
        <f>$C$30</f>
        <v>4</v>
      </c>
      <c r="J247" s="85" t="s">
        <v>13</v>
      </c>
    </row>
    <row r="248" spans="1:10" s="21" customFormat="1" ht="18.75">
      <c r="A248" s="45"/>
      <c r="B248" s="86" t="s">
        <v>216</v>
      </c>
      <c r="C248" s="88">
        <f>$C$9</f>
        <v>10</v>
      </c>
      <c r="D248" s="45" t="s">
        <v>3</v>
      </c>
      <c r="E248" s="86" t="s">
        <v>198</v>
      </c>
      <c r="F248" s="87">
        <f>$C$18</f>
        <v>300</v>
      </c>
      <c r="G248" s="45" t="s">
        <v>218</v>
      </c>
      <c r="H248" s="86" t="s">
        <v>177</v>
      </c>
      <c r="I248" s="88">
        <f>$F$30</f>
        <v>4</v>
      </c>
      <c r="J248" s="85" t="s">
        <v>13</v>
      </c>
    </row>
    <row r="249" spans="1:10" s="21" customFormat="1" ht="18.75">
      <c r="A249" s="45"/>
      <c r="B249" s="86" t="s">
        <v>405</v>
      </c>
      <c r="C249" s="109">
        <f>$C$54</f>
        <v>9.98435227015303</v>
      </c>
      <c r="D249" s="45" t="s">
        <v>3</v>
      </c>
      <c r="H249" s="86" t="s">
        <v>175</v>
      </c>
      <c r="I249" s="85">
        <f>$C$31</f>
        <v>5</v>
      </c>
      <c r="J249" s="82"/>
    </row>
    <row r="250" spans="1:10" s="21" customFormat="1" ht="18.75">
      <c r="A250" s="45"/>
      <c r="B250" s="86" t="s">
        <v>217</v>
      </c>
      <c r="C250" s="88">
        <f>$C$10</f>
        <v>1</v>
      </c>
      <c r="D250" s="45" t="s">
        <v>3</v>
      </c>
      <c r="H250" s="92" t="s">
        <v>178</v>
      </c>
      <c r="I250" s="85">
        <f>$F$31</f>
        <v>2</v>
      </c>
      <c r="J250" s="81"/>
    </row>
    <row r="251" spans="1:10" s="21" customFormat="1" ht="14.25">
      <c r="A251" s="45"/>
      <c r="B251" s="86" t="s">
        <v>7</v>
      </c>
      <c r="C251" s="88">
        <f>$I$10</f>
        <v>25</v>
      </c>
      <c r="D251" s="45" t="s">
        <v>21</v>
      </c>
      <c r="H251" s="92"/>
      <c r="I251" s="85"/>
      <c r="J251" s="81"/>
    </row>
    <row r="252" spans="1:10" s="21" customFormat="1" ht="14.25">
      <c r="A252" s="45"/>
      <c r="B252" s="45"/>
      <c r="C252" s="45"/>
      <c r="D252" s="45"/>
      <c r="E252" s="45"/>
      <c r="F252" s="45"/>
      <c r="G252" s="45"/>
      <c r="H252" s="45"/>
      <c r="I252" s="83"/>
      <c r="J252" s="93"/>
    </row>
    <row r="253" spans="1:10" s="21" customFormat="1" ht="18.75">
      <c r="A253" s="45"/>
      <c r="B253" s="92" t="s">
        <v>219</v>
      </c>
      <c r="C253" s="89">
        <f>$C$48</f>
        <v>4.702926222501101E-08</v>
      </c>
      <c r="D253" s="81" t="s">
        <v>220</v>
      </c>
      <c r="E253" s="92" t="s">
        <v>221</v>
      </c>
      <c r="F253" s="91">
        <f>$C$51</f>
        <v>0.9075236731560373</v>
      </c>
      <c r="G253" s="45"/>
      <c r="H253" s="86" t="s">
        <v>222</v>
      </c>
      <c r="I253" s="87">
        <f>$E$203</f>
        <v>3822.5189422086037</v>
      </c>
      <c r="J253" s="45" t="s">
        <v>17</v>
      </c>
    </row>
    <row r="254" spans="1:10" s="21" customFormat="1" ht="18.75">
      <c r="A254" s="45"/>
      <c r="B254" s="86" t="s">
        <v>223</v>
      </c>
      <c r="C254" s="89">
        <f>$C$49</f>
        <v>7.823864923484685E-06</v>
      </c>
      <c r="D254" s="81" t="s">
        <v>224</v>
      </c>
      <c r="E254" s="86" t="s">
        <v>12</v>
      </c>
      <c r="F254" s="91">
        <f>$C$62</f>
        <v>0.27240024128103846</v>
      </c>
      <c r="G254" s="45"/>
      <c r="H254" s="86" t="s">
        <v>225</v>
      </c>
      <c r="I254" s="87">
        <f>$E$213</f>
        <v>5383.79323270994</v>
      </c>
      <c r="J254" s="45" t="s">
        <v>17</v>
      </c>
    </row>
    <row r="255" spans="1:10" s="21" customFormat="1" ht="18.75">
      <c r="A255" s="45"/>
      <c r="B255" s="86" t="s">
        <v>226</v>
      </c>
      <c r="C255" s="87">
        <f>$C$40*1000</f>
        <v>1455.1902041610115</v>
      </c>
      <c r="D255" s="45" t="s">
        <v>227</v>
      </c>
      <c r="E255" s="86" t="s">
        <v>19</v>
      </c>
      <c r="F255" s="91">
        <f>$C$63</f>
        <v>0.90766838819573</v>
      </c>
      <c r="G255" s="82"/>
      <c r="H255" s="82" t="s">
        <v>228</v>
      </c>
      <c r="I255" s="87">
        <f>$E$217</f>
        <v>388.42152904432504</v>
      </c>
      <c r="J255" s="45" t="s">
        <v>17</v>
      </c>
    </row>
    <row r="256" spans="1:10" s="21" customFormat="1" ht="18.75">
      <c r="A256" s="45"/>
      <c r="B256" s="86" t="s">
        <v>229</v>
      </c>
      <c r="C256" s="85">
        <f>$E$46</f>
        <v>7328.47964286857</v>
      </c>
      <c r="D256" s="45" t="s">
        <v>404</v>
      </c>
      <c r="E256" s="86" t="s">
        <v>230</v>
      </c>
      <c r="F256" s="91">
        <f>$I$135</f>
        <v>0.2664306117864472</v>
      </c>
      <c r="G256" s="94" t="s">
        <v>231</v>
      </c>
      <c r="H256" s="82" t="s">
        <v>232</v>
      </c>
      <c r="I256" s="87">
        <f>$E$227</f>
        <v>1197.2880666122294</v>
      </c>
      <c r="J256" s="81" t="s">
        <v>17</v>
      </c>
    </row>
    <row r="257" spans="1:7" s="21" customFormat="1" ht="18.75">
      <c r="A257" s="45"/>
      <c r="B257" s="86" t="s">
        <v>233</v>
      </c>
      <c r="C257" s="85">
        <f>$E$47</f>
        <v>95621.26254569036</v>
      </c>
      <c r="D257" s="45" t="s">
        <v>404</v>
      </c>
      <c r="E257" s="82" t="s">
        <v>234</v>
      </c>
      <c r="F257" s="90">
        <f>$J$139</f>
        <v>0.07412449127546539</v>
      </c>
      <c r="G257" s="95" t="s">
        <v>235</v>
      </c>
    </row>
    <row r="258" spans="1:7" ht="16.5">
      <c r="A258" s="13"/>
      <c r="E258" s="86" t="s">
        <v>398</v>
      </c>
      <c r="F258" s="91">
        <f>$C$15*100</f>
        <v>0.5</v>
      </c>
      <c r="G258" s="81" t="s">
        <v>237</v>
      </c>
    </row>
    <row r="259" spans="1:7" ht="18.75">
      <c r="A259" s="13"/>
      <c r="B259" s="77"/>
      <c r="C259" s="97"/>
      <c r="D259" s="77"/>
      <c r="E259" s="94" t="s">
        <v>236</v>
      </c>
      <c r="F259" s="91">
        <f>$E$239</f>
        <v>1.0757285319039145</v>
      </c>
      <c r="G259" s="81" t="s">
        <v>237</v>
      </c>
    </row>
    <row r="260" spans="3:10" ht="18.75">
      <c r="C260" s="7"/>
      <c r="E260" s="96" t="s">
        <v>238</v>
      </c>
      <c r="F260" s="91">
        <f>$E$195</f>
        <v>0.8494477195879147</v>
      </c>
      <c r="G260" s="98"/>
      <c r="J260" s="7"/>
    </row>
    <row r="261" spans="3:10" ht="14.25">
      <c r="C261" s="8"/>
      <c r="D261" s="2"/>
      <c r="E261" s="86" t="s">
        <v>208</v>
      </c>
      <c r="F261" s="91">
        <f>$B$195</f>
        <v>0.56343</v>
      </c>
      <c r="G261" s="2"/>
      <c r="H261" s="2"/>
      <c r="I261" s="3"/>
      <c r="J261" s="6"/>
    </row>
    <row r="262" spans="3:10" ht="12">
      <c r="C262" s="7"/>
      <c r="J262" s="7"/>
    </row>
    <row r="263" spans="3:10" ht="12">
      <c r="C263" s="9"/>
      <c r="J263" s="11"/>
    </row>
  </sheetData>
  <mergeCells count="2">
    <mergeCell ref="D184:E184"/>
    <mergeCell ref="B184:C184"/>
  </mergeCells>
  <printOptions/>
  <pageMargins left="0.3937007874015748" right="0.3937007874015748" top="0.7874015748031497" bottom="0.1968503937007874" header="0.5118110236220472" footer="0.5118110236220472"/>
  <pageSetup horizontalDpi="300" verticalDpi="300" orientation="landscape" paperSize="9" scale="80" r:id="rId1"/>
  <headerFooter alignWithMargins="0">
    <oddFooter>&amp;C&amp;P</oddFooter>
  </headerFooter>
  <rowBreaks count="7" manualBreakCount="7">
    <brk id="35" max="12" man="1"/>
    <brk id="74" max="12" man="1"/>
    <brk id="128" max="12" man="1"/>
    <brk id="182" max="12" man="1"/>
    <brk id="228" max="12" man="1"/>
    <brk id="240" max="12" man="1"/>
    <brk id="262" max="12" man="1"/>
  </rowBreaks>
  <colBreaks count="1" manualBreakCount="1">
    <brk id="13" min="1" max="2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田中良修</dc:creator>
  <cp:keywords/>
  <dc:description/>
  <cp:lastModifiedBy>tanaka</cp:lastModifiedBy>
  <cp:lastPrinted>2013-08-17T05:31:40Z</cp:lastPrinted>
  <dcterms:created xsi:type="dcterms:W3CDTF">2001-06-26T10:35:31Z</dcterms:created>
  <dcterms:modified xsi:type="dcterms:W3CDTF">2014-05-25T08:16:32Z</dcterms:modified>
  <cp:category/>
  <cp:version/>
  <cp:contentType/>
  <cp:contentStatus/>
</cp:coreProperties>
</file>