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'Sheet1'!$B$1:$M$261</definedName>
  </definedNames>
  <calcPr fullCalcOnLoad="1"/>
</workbook>
</file>

<file path=xl/sharedStrings.xml><?xml version="1.0" encoding="utf-8"?>
<sst xmlns="http://schemas.openxmlformats.org/spreadsheetml/2006/main" count="543" uniqueCount="387">
  <si>
    <t>j</t>
  </si>
  <si>
    <t xml:space="preserve">  Membrane pair characteristics, Transport number, Alternating current electric resistance, Structure of gaskets.</t>
  </si>
  <si>
    <t>Point p</t>
  </si>
  <si>
    <r>
      <t>V</t>
    </r>
    <r>
      <rPr>
        <i/>
        <vertAlign val="subscript"/>
        <sz val="10"/>
        <color indexed="12"/>
        <rFont val="ＭＳ Ｐゴシック"/>
        <family val="3"/>
      </rPr>
      <t xml:space="preserve">cell </t>
    </r>
  </si>
  <si>
    <t>V/pair</t>
  </si>
  <si>
    <r>
      <t>C</t>
    </r>
    <r>
      <rPr>
        <i/>
        <vertAlign val="superscript"/>
        <sz val="10"/>
        <color indexed="12"/>
        <rFont val="ＭＳ Ｐゴシック"/>
        <family val="3"/>
      </rPr>
      <t>0</t>
    </r>
    <r>
      <rPr>
        <i/>
        <sz val="10"/>
        <color indexed="12"/>
        <rFont val="ＭＳ Ｐゴシック"/>
        <family val="3"/>
      </rPr>
      <t xml:space="preserve"> </t>
    </r>
  </si>
  <si>
    <r>
      <t>mg/dm</t>
    </r>
    <r>
      <rPr>
        <vertAlign val="superscript"/>
        <sz val="10"/>
        <color indexed="12"/>
        <rFont val="ＭＳ Ｐゴシック"/>
        <family val="3"/>
      </rPr>
      <t>3</t>
    </r>
  </si>
  <si>
    <t>T</t>
  </si>
  <si>
    <t>℃</t>
  </si>
  <si>
    <r>
      <t>C'</t>
    </r>
    <r>
      <rPr>
        <i/>
        <vertAlign val="subscript"/>
        <sz val="10"/>
        <color indexed="12"/>
        <rFont val="ＭＳ Ｐゴシック"/>
        <family val="3"/>
      </rPr>
      <t>0</t>
    </r>
    <r>
      <rPr>
        <sz val="10"/>
        <color indexed="12"/>
        <rFont val="ＭＳ Ｐゴシック"/>
        <family val="3"/>
      </rPr>
      <t xml:space="preserve"> </t>
    </r>
  </si>
  <si>
    <r>
      <t>C'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 xml:space="preserve"> </t>
    </r>
  </si>
  <si>
    <t>-</t>
  </si>
  <si>
    <t>cm/s</t>
  </si>
  <si>
    <t>R</t>
  </si>
  <si>
    <t>VAs/Kmol</t>
  </si>
  <si>
    <t>K</t>
  </si>
  <si>
    <t>I/S</t>
  </si>
  <si>
    <r>
      <t>A/cm</t>
    </r>
    <r>
      <rPr>
        <vertAlign val="superscript"/>
        <sz val="10"/>
        <color indexed="10"/>
        <rFont val="ＭＳ Ｐゴシック"/>
        <family val="3"/>
      </rPr>
      <t>2</t>
    </r>
  </si>
  <si>
    <r>
      <t>V</t>
    </r>
    <r>
      <rPr>
        <i/>
        <vertAlign val="subscript"/>
        <sz val="10"/>
        <color indexed="10"/>
        <rFont val="ＭＳ Ｐゴシック"/>
        <family val="3"/>
      </rPr>
      <t>cell</t>
    </r>
  </si>
  <si>
    <t>F</t>
  </si>
  <si>
    <t>As/mol</t>
  </si>
  <si>
    <r>
      <t>V</t>
    </r>
    <r>
      <rPr>
        <i/>
        <vertAlign val="subscript"/>
        <sz val="10"/>
        <color indexed="10"/>
        <rFont val="ＭＳ Ｐゴシック"/>
        <family val="3"/>
      </rPr>
      <t>cell</t>
    </r>
    <r>
      <rPr>
        <i/>
        <vertAlign val="superscript"/>
        <sz val="10"/>
        <color indexed="10"/>
        <rFont val="ＭＳ Ｐゴシック"/>
        <family val="3"/>
      </rPr>
      <t>*</t>
    </r>
  </si>
  <si>
    <t>RT/F</t>
  </si>
  <si>
    <t>V</t>
  </si>
  <si>
    <t>N</t>
  </si>
  <si>
    <t>cells</t>
  </si>
  <si>
    <t>Number of desalting cells</t>
  </si>
  <si>
    <r>
      <t>N</t>
    </r>
    <r>
      <rPr>
        <sz val="10"/>
        <rFont val="ＭＳ Ｐゴシック"/>
        <family val="3"/>
      </rPr>
      <t>+1</t>
    </r>
  </si>
  <si>
    <t>Number of concentrating cells</t>
  </si>
  <si>
    <t>cm</t>
  </si>
  <si>
    <t>b</t>
  </si>
  <si>
    <t>l</t>
  </si>
  <si>
    <t>S</t>
  </si>
  <si>
    <r>
      <t>cm</t>
    </r>
    <r>
      <rPr>
        <vertAlign val="superscript"/>
        <sz val="10"/>
        <rFont val="ＭＳ Ｐゴシック"/>
        <family val="3"/>
      </rPr>
      <t>2</t>
    </r>
  </si>
  <si>
    <t>Membrane area</t>
  </si>
  <si>
    <t>I</t>
  </si>
  <si>
    <t>A</t>
  </si>
  <si>
    <t>Electric current</t>
  </si>
  <si>
    <t>ε</t>
  </si>
  <si>
    <t>Spacer rod volume ratio  Input 3</t>
  </si>
  <si>
    <r>
      <t>C'</t>
    </r>
    <r>
      <rPr>
        <vertAlign val="subscript"/>
        <sz val="10"/>
        <color indexed="10"/>
        <rFont val="ＭＳ Ｐゴシック"/>
        <family val="3"/>
      </rPr>
      <t>in</t>
    </r>
    <r>
      <rPr>
        <vertAlign val="superscript"/>
        <sz val="10"/>
        <color indexed="10"/>
        <rFont val="ＭＳ Ｐゴシック"/>
        <family val="3"/>
      </rPr>
      <t>*</t>
    </r>
  </si>
  <si>
    <r>
      <t>eq/cm</t>
    </r>
    <r>
      <rPr>
        <vertAlign val="superscript"/>
        <sz val="10"/>
        <color indexed="10"/>
        <rFont val="ＭＳ Ｐゴシック"/>
        <family val="3"/>
      </rPr>
      <t>3</t>
    </r>
  </si>
  <si>
    <r>
      <t>mg/dm</t>
    </r>
    <r>
      <rPr>
        <vertAlign val="superscript"/>
        <sz val="10"/>
        <color indexed="8"/>
        <rFont val="ＭＳ Ｐゴシック"/>
        <family val="3"/>
      </rPr>
      <t>3</t>
    </r>
  </si>
  <si>
    <t>Salt concentration at the inlets of desalting cells</t>
  </si>
  <si>
    <r>
      <t>C'</t>
    </r>
    <r>
      <rPr>
        <vertAlign val="subscript"/>
        <sz val="10"/>
        <color indexed="10"/>
        <rFont val="ＭＳ Ｐゴシック"/>
        <family val="3"/>
      </rPr>
      <t>out</t>
    </r>
  </si>
  <si>
    <r>
      <t>eq/cm</t>
    </r>
    <r>
      <rPr>
        <vertAlign val="superscript"/>
        <sz val="10"/>
        <color indexed="8"/>
        <rFont val="ＭＳ Ｐゴシック"/>
        <family val="3"/>
      </rPr>
      <t>3</t>
    </r>
  </si>
  <si>
    <r>
      <t>eq/dm</t>
    </r>
    <r>
      <rPr>
        <vertAlign val="superscript"/>
        <sz val="10"/>
        <rFont val="ＭＳ Ｐゴシック"/>
        <family val="3"/>
      </rPr>
      <t>3</t>
    </r>
  </si>
  <si>
    <r>
      <t>g/dm</t>
    </r>
    <r>
      <rPr>
        <vertAlign val="superscript"/>
        <sz val="10"/>
        <rFont val="ＭＳ Ｐゴシック"/>
        <family val="3"/>
      </rPr>
      <t>3</t>
    </r>
  </si>
  <si>
    <t>g/ｋｇ</t>
  </si>
  <si>
    <r>
      <t>mg/dm</t>
    </r>
    <r>
      <rPr>
        <vertAlign val="superscript"/>
        <sz val="10"/>
        <color indexed="10"/>
        <rFont val="ＭＳ Ｐゴシック"/>
        <family val="3"/>
      </rPr>
      <t>3</t>
    </r>
  </si>
  <si>
    <t>B</t>
  </si>
  <si>
    <r>
      <t>eq/cm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s</t>
    </r>
  </si>
  <si>
    <r>
      <t>C'</t>
    </r>
    <r>
      <rPr>
        <i/>
        <vertAlign val="subscript"/>
        <sz val="10"/>
        <color indexed="10"/>
        <rFont val="ＭＳ Ｐゴシック"/>
        <family val="3"/>
      </rPr>
      <t>out</t>
    </r>
    <r>
      <rPr>
        <i/>
        <vertAlign val="superscript"/>
        <sz val="10"/>
        <color indexed="10"/>
        <rFont val="ＭＳ Ｐゴシック"/>
        <family val="3"/>
      </rPr>
      <t>*</t>
    </r>
  </si>
  <si>
    <t xml:space="preserve">L </t>
  </si>
  <si>
    <r>
      <t>cm</t>
    </r>
    <r>
      <rPr>
        <vertAlign val="superscript"/>
        <sz val="10"/>
        <color indexed="8"/>
        <rFont val="ＭＳ Ｐゴシック"/>
        <family val="3"/>
      </rPr>
      <t>4</t>
    </r>
    <r>
      <rPr>
        <sz val="10"/>
        <color indexed="8"/>
        <rFont val="ＭＳ Ｐゴシック"/>
        <family val="3"/>
      </rPr>
      <t>/eq・s</t>
    </r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</si>
  <si>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</si>
  <si>
    <t xml:space="preserve">M </t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</si>
  <si>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</si>
  <si>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sz val="10"/>
        <color indexed="10"/>
        <rFont val="ＭＳ Ｐゴシック"/>
        <family val="3"/>
      </rPr>
      <t xml:space="preserve">  Decision point 2  Control key 2</t>
    </r>
  </si>
  <si>
    <t xml:space="preserve">N </t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</si>
  <si>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</si>
  <si>
    <t>P</t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</si>
  <si>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</si>
  <si>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sz val="10"/>
        <color indexed="10"/>
        <rFont val="ＭＳ Ｐゴシック"/>
        <family val="3"/>
      </rPr>
      <t xml:space="preserve">  Decision point 2  Control key 2</t>
    </r>
  </si>
  <si>
    <t>Q</t>
  </si>
  <si>
    <t>q</t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</si>
  <si>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</si>
  <si>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/dm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</t>
    </r>
  </si>
  <si>
    <t>Volume of concentrate</t>
  </si>
  <si>
    <t>η</t>
  </si>
  <si>
    <r>
      <t>q'</t>
    </r>
    <r>
      <rPr>
        <vertAlign val="subscript"/>
        <sz val="10"/>
        <rFont val="ＭＳ Ｐゴシック"/>
        <family val="3"/>
      </rPr>
      <t>in</t>
    </r>
  </si>
  <si>
    <r>
      <t>q'</t>
    </r>
    <r>
      <rPr>
        <vertAlign val="subscript"/>
        <sz val="10"/>
        <rFont val="ＭＳ Ｐゴシック"/>
        <family val="3"/>
      </rPr>
      <t>out</t>
    </r>
  </si>
  <si>
    <r>
      <t>u'</t>
    </r>
    <r>
      <rPr>
        <vertAlign val="subscript"/>
        <sz val="10"/>
        <rFont val="ＭＳ Ｐゴシック"/>
        <family val="3"/>
      </rPr>
      <t>out</t>
    </r>
  </si>
  <si>
    <t>Linear velocity at the outlets of desalting cells</t>
  </si>
  <si>
    <r>
      <t>u'</t>
    </r>
    <r>
      <rPr>
        <i/>
        <vertAlign val="subscript"/>
        <sz val="10"/>
        <color indexed="8"/>
        <rFont val="ＭＳ Ｐゴシック"/>
        <family val="3"/>
      </rPr>
      <t>p</t>
    </r>
  </si>
  <si>
    <r>
      <t>u'</t>
    </r>
    <r>
      <rPr>
        <i/>
        <vertAlign val="subscript"/>
        <sz val="10"/>
        <color indexed="8"/>
        <rFont val="ＭＳ Ｐゴシック"/>
        <family val="3"/>
      </rPr>
      <t>p/2</t>
    </r>
  </si>
  <si>
    <r>
      <t>u"</t>
    </r>
    <r>
      <rPr>
        <i/>
        <vertAlign val="subscript"/>
        <sz val="10"/>
        <color indexed="8"/>
        <rFont val="ＭＳ Ｐゴシック"/>
        <family val="3"/>
      </rPr>
      <t>out</t>
    </r>
  </si>
  <si>
    <t>Linear velocity at the outlets of concentrating cells</t>
  </si>
  <si>
    <r>
      <t>u"</t>
    </r>
    <r>
      <rPr>
        <i/>
        <vertAlign val="subscript"/>
        <sz val="10"/>
        <color indexed="8"/>
        <rFont val="ＭＳ Ｐゴシック"/>
        <family val="3"/>
      </rPr>
      <t>p</t>
    </r>
  </si>
  <si>
    <r>
      <t>u"</t>
    </r>
    <r>
      <rPr>
        <i/>
        <vertAlign val="subscript"/>
        <sz val="10"/>
        <color indexed="8"/>
        <rFont val="ＭＳ Ｐゴシック"/>
        <family val="3"/>
      </rPr>
      <t>p/2</t>
    </r>
  </si>
  <si>
    <r>
      <t>q"</t>
    </r>
    <r>
      <rPr>
        <i/>
        <vertAlign val="subscript"/>
        <sz val="10"/>
        <rFont val="ＭＳ Ｐゴシック"/>
        <family val="3"/>
      </rPr>
      <t>in</t>
    </r>
  </si>
  <si>
    <r>
      <t>q"</t>
    </r>
    <r>
      <rPr>
        <i/>
        <vertAlign val="subscript"/>
        <sz val="10"/>
        <rFont val="ＭＳ Ｐゴシック"/>
        <family val="3"/>
      </rPr>
      <t>out</t>
    </r>
  </si>
  <si>
    <r>
      <t>x</t>
    </r>
    <r>
      <rPr>
        <sz val="10"/>
        <rFont val="ＭＳ Ｐゴシック"/>
        <family val="3"/>
      </rPr>
      <t xml:space="preserve"> = 0</t>
    </r>
  </si>
  <si>
    <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pl</t>
    </r>
  </si>
  <si>
    <r>
      <t>x</t>
    </r>
    <r>
      <rPr>
        <sz val="10"/>
        <color indexed="8"/>
        <rFont val="ＭＳ Ｐゴシック"/>
        <family val="3"/>
      </rPr>
      <t xml:space="preserve"> =</t>
    </r>
    <r>
      <rPr>
        <i/>
        <sz val="10"/>
        <color indexed="8"/>
        <rFont val="ＭＳ Ｐゴシック"/>
        <family val="3"/>
      </rPr>
      <t xml:space="preserve"> l</t>
    </r>
  </si>
  <si>
    <t>Inlet</t>
  </si>
  <si>
    <t>Outlet</t>
  </si>
  <si>
    <r>
      <t>C"</t>
    </r>
    <r>
      <rPr>
        <vertAlign val="subscript"/>
        <sz val="10"/>
        <rFont val="ＭＳ Ｐゴシック"/>
        <family val="3"/>
      </rPr>
      <t>1</t>
    </r>
  </si>
  <si>
    <r>
      <t>C"</t>
    </r>
    <r>
      <rPr>
        <vertAlign val="subscript"/>
        <sz val="10"/>
        <rFont val="ＭＳ Ｐゴシック"/>
        <family val="3"/>
      </rPr>
      <t>2</t>
    </r>
  </si>
  <si>
    <r>
      <t>C"</t>
    </r>
    <r>
      <rPr>
        <vertAlign val="subscript"/>
        <sz val="10"/>
        <rFont val="ＭＳ Ｐゴシック"/>
        <family val="3"/>
      </rPr>
      <t>3</t>
    </r>
  </si>
  <si>
    <t>g/kg</t>
  </si>
  <si>
    <t>κ"</t>
  </si>
  <si>
    <t>S/cm</t>
  </si>
  <si>
    <t>Conductivity</t>
  </si>
  <si>
    <r>
      <t>Ωcm</t>
    </r>
    <r>
      <rPr>
        <vertAlign val="superscript"/>
        <sz val="10"/>
        <rFont val="ＭＳ Ｐゴシック"/>
        <family val="3"/>
      </rPr>
      <t>2</t>
    </r>
  </si>
  <si>
    <t>γ"</t>
  </si>
  <si>
    <t>Salt activity coefficient</t>
  </si>
  <si>
    <r>
      <t xml:space="preserve">(1) Solution electric resistance and salt activity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</t>
    </r>
  </si>
  <si>
    <r>
      <t>C'</t>
    </r>
    <r>
      <rPr>
        <vertAlign val="subscript"/>
        <sz val="10"/>
        <rFont val="ＭＳ Ｐゴシック"/>
        <family val="3"/>
      </rPr>
      <t>in,1</t>
    </r>
  </si>
  <si>
    <r>
      <t>C'</t>
    </r>
    <r>
      <rPr>
        <vertAlign val="subscript"/>
        <sz val="10"/>
        <rFont val="ＭＳ Ｐゴシック"/>
        <family val="3"/>
      </rPr>
      <t>in,2</t>
    </r>
  </si>
  <si>
    <r>
      <t>C'</t>
    </r>
    <r>
      <rPr>
        <vertAlign val="subscript"/>
        <sz val="10"/>
        <rFont val="ＭＳ Ｐゴシック"/>
        <family val="3"/>
      </rPr>
      <t>in,3</t>
    </r>
  </si>
  <si>
    <r>
      <t>κ'</t>
    </r>
    <r>
      <rPr>
        <vertAlign val="subscript"/>
        <sz val="10"/>
        <rFont val="ＭＳ Ｐゴシック"/>
        <family val="3"/>
      </rPr>
      <t>in</t>
    </r>
  </si>
  <si>
    <t>Solution electric conductivity</t>
  </si>
  <si>
    <r>
      <t>γ'</t>
    </r>
    <r>
      <rPr>
        <vertAlign val="subscript"/>
        <sz val="10"/>
        <rFont val="ＭＳ Ｐゴシック"/>
        <family val="3"/>
      </rPr>
      <t>in</t>
    </r>
  </si>
  <si>
    <r>
      <t>(2)</t>
    </r>
    <r>
      <rPr>
        <i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Membrane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</si>
  <si>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alter</t>
    </r>
  </si>
  <si>
    <r>
      <t xml:space="preserve">unit of </t>
    </r>
    <r>
      <rPr>
        <i/>
        <sz val="10"/>
        <color indexed="8"/>
        <rFont val="ＭＳ Ｐゴシック"/>
        <family val="3"/>
      </rPr>
      <t xml:space="preserve">κ </t>
    </r>
    <r>
      <rPr>
        <sz val="10"/>
        <color indexed="8"/>
        <rFont val="ＭＳ Ｐゴシック"/>
        <family val="3"/>
      </rPr>
      <t>in the equation is S/cm</t>
    </r>
  </si>
  <si>
    <r>
      <t>r</t>
    </r>
    <r>
      <rPr>
        <vertAlign val="subscript"/>
        <sz val="10"/>
        <rFont val="ＭＳ Ｐゴシック"/>
        <family val="3"/>
      </rPr>
      <t>dire,in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</t>
    </r>
  </si>
  <si>
    <r>
      <t xml:space="preserve">(1) Salt concentration, specific conductivity and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 xml:space="preserve">l </t>
    </r>
    <r>
      <rPr>
        <sz val="10"/>
        <rFont val="ＭＳ Ｐゴシック"/>
        <family val="3"/>
      </rPr>
      <t>in desalting cells</t>
    </r>
  </si>
  <si>
    <r>
      <t>ξ</t>
    </r>
    <r>
      <rPr>
        <vertAlign val="subscript"/>
        <sz val="10"/>
        <rFont val="ＭＳ Ｐゴシック"/>
        <family val="3"/>
      </rPr>
      <t>j</t>
    </r>
  </si>
  <si>
    <r>
      <t>C'</t>
    </r>
    <r>
      <rPr>
        <vertAlign val="subscript"/>
        <sz val="10"/>
        <rFont val="ＭＳ Ｐゴシック"/>
        <family val="3"/>
      </rPr>
      <t>out,j,1</t>
    </r>
  </si>
  <si>
    <r>
      <t>C'</t>
    </r>
    <r>
      <rPr>
        <vertAlign val="subscript"/>
        <sz val="10"/>
        <rFont val="ＭＳ Ｐゴシック"/>
        <family val="3"/>
      </rPr>
      <t>out,j,2</t>
    </r>
  </si>
  <si>
    <r>
      <t>C'</t>
    </r>
    <r>
      <rPr>
        <vertAlign val="subscript"/>
        <sz val="10"/>
        <rFont val="ＭＳ Ｐゴシック"/>
        <family val="3"/>
      </rPr>
      <t>out,j,3</t>
    </r>
  </si>
  <si>
    <r>
      <t>κ'</t>
    </r>
    <r>
      <rPr>
        <vertAlign val="subscript"/>
        <sz val="10"/>
        <rFont val="ＭＳ Ｐゴシック"/>
        <family val="3"/>
      </rPr>
      <t>out,j</t>
    </r>
  </si>
  <si>
    <r>
      <t>r'</t>
    </r>
    <r>
      <rPr>
        <vertAlign val="subscript"/>
        <sz val="10"/>
        <rFont val="ＭＳ Ｐゴシック"/>
        <family val="3"/>
      </rPr>
      <t>out,j</t>
    </r>
  </si>
  <si>
    <r>
      <t>Y</t>
    </r>
    <r>
      <rPr>
        <vertAlign val="subscript"/>
        <sz val="10"/>
        <rFont val="ＭＳ Ｐゴシック"/>
        <family val="3"/>
      </rPr>
      <t>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</si>
  <si>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out,j</t>
    </r>
  </si>
  <si>
    <r>
      <t xml:space="preserve">(2) Stack membrane potential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  <r>
      <rPr>
        <sz val="10"/>
        <rFont val="ＭＳ Ｐゴシック"/>
        <family val="3"/>
      </rPr>
      <t xml:space="preserve"> </t>
    </r>
  </si>
  <si>
    <r>
      <t xml:space="preserve">(3) Stack direct current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  <r>
      <rPr>
        <sz val="10"/>
        <rFont val="ＭＳ Ｐゴシック"/>
        <family val="3"/>
      </rPr>
      <t xml:space="preserve"> 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</si>
  <si>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out,j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</si>
  <si>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</t>
    </r>
    <r>
      <rPr>
        <i/>
        <vertAlign val="subscript"/>
        <sz val="10"/>
        <rFont val="ＭＳ Ｐゴシック"/>
        <family val="3"/>
      </rPr>
      <t>out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</si>
  <si>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alter</t>
    </r>
  </si>
  <si>
    <r>
      <t>r</t>
    </r>
    <r>
      <rPr>
        <vertAlign val="subscript"/>
        <sz val="10"/>
        <rFont val="ＭＳ Ｐゴシック"/>
        <family val="3"/>
      </rPr>
      <t>dire,out,j</t>
    </r>
    <r>
      <rPr>
        <sz val="10"/>
        <rFont val="ＭＳ Ｐゴシック"/>
        <family val="3"/>
      </rPr>
      <t>/r</t>
    </r>
    <r>
      <rPr>
        <vertAlign val="subscript"/>
        <sz val="10"/>
        <rFont val="ＭＳ Ｐゴシック"/>
        <family val="3"/>
      </rPr>
      <t>dire</t>
    </r>
    <r>
      <rPr>
        <vertAlign val="superscript"/>
        <sz val="10"/>
        <rFont val="ＭＳ Ｐゴシック"/>
        <family val="3"/>
      </rPr>
      <t>*</t>
    </r>
  </si>
  <si>
    <r>
      <t>r</t>
    </r>
    <r>
      <rPr>
        <vertAlign val="subscript"/>
        <sz val="10"/>
        <rFont val="ＭＳ Ｐゴシック"/>
        <family val="3"/>
      </rPr>
      <t>out,j,memb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</si>
  <si>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out,j,memb</t>
    </r>
  </si>
  <si>
    <r>
      <t>C"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γ'</t>
    </r>
    <r>
      <rPr>
        <vertAlign val="subscript"/>
        <sz val="10"/>
        <rFont val="ＭＳ Ｐゴシック"/>
        <family val="3"/>
      </rPr>
      <t>out,j</t>
    </r>
  </si>
  <si>
    <r>
      <t>C'</t>
    </r>
    <r>
      <rPr>
        <vertAlign val="subscript"/>
        <sz val="10"/>
        <rFont val="ＭＳ Ｐゴシック"/>
        <family val="3"/>
      </rPr>
      <t>out,j</t>
    </r>
  </si>
  <si>
    <t>Stack inlet</t>
  </si>
  <si>
    <t>Syack inlet</t>
  </si>
  <si>
    <t>Stack outlet</t>
  </si>
  <si>
    <t>electric resist.e</t>
  </si>
  <si>
    <t>membr. potential</t>
  </si>
  <si>
    <t>electric resist.</t>
  </si>
  <si>
    <r>
      <t>A</t>
    </r>
    <r>
      <rPr>
        <vertAlign val="subscript"/>
        <sz val="10"/>
        <rFont val="ＭＳ Ｐゴシック"/>
        <family val="3"/>
      </rPr>
      <t>1</t>
    </r>
  </si>
  <si>
    <r>
      <t>A</t>
    </r>
    <r>
      <rPr>
        <vertAlign val="subscript"/>
        <sz val="10"/>
        <rFont val="ＭＳ Ｐゴシック"/>
        <family val="3"/>
      </rPr>
      <t>2</t>
    </r>
  </si>
  <si>
    <r>
      <t>B</t>
    </r>
    <r>
      <rPr>
        <vertAlign val="subscript"/>
        <sz val="10"/>
        <rFont val="ＭＳ Ｐゴシック"/>
        <family val="3"/>
      </rPr>
      <t>1</t>
    </r>
  </si>
  <si>
    <r>
      <t>B</t>
    </r>
    <r>
      <rPr>
        <vertAlign val="subscript"/>
        <sz val="10"/>
        <rFont val="ＭＳ Ｐゴシック"/>
        <family val="3"/>
      </rPr>
      <t>2</t>
    </r>
  </si>
  <si>
    <r>
      <t>A/cm</t>
    </r>
    <r>
      <rPr>
        <vertAlign val="superscript"/>
        <sz val="10"/>
        <rFont val="ＭＳ Ｐゴシック"/>
        <family val="3"/>
      </rPr>
      <t>2</t>
    </r>
  </si>
  <si>
    <r>
      <t>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=B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</si>
  <si>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=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-B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</si>
  <si>
    <r>
      <t>α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</si>
  <si>
    <r>
      <t>α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=-2{3(I/S)-2Z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</si>
  <si>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α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=3{2(I/S)-Z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</si>
  <si>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β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(I/S)</t>
    </r>
  </si>
  <si>
    <r>
      <t>β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=-2(2Z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+1)(I/S)</t>
    </r>
  </si>
  <si>
    <r>
      <t>β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=3(Z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+1)(I/S)</t>
    </r>
  </si>
  <si>
    <r>
      <t xml:space="preserve">(1) Salt concentration, specific conductivity,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 xml:space="preserve">pl </t>
    </r>
    <r>
      <rPr>
        <sz val="10"/>
        <rFont val="ＭＳ Ｐゴシック"/>
        <family val="3"/>
      </rPr>
      <t>in desalting cells</t>
    </r>
  </si>
  <si>
    <r>
      <t>C'</t>
    </r>
    <r>
      <rPr>
        <vertAlign val="subscript"/>
        <sz val="10"/>
        <rFont val="ＭＳ Ｐゴシック"/>
        <family val="3"/>
      </rPr>
      <t>p,j,1</t>
    </r>
  </si>
  <si>
    <r>
      <t>C'</t>
    </r>
    <r>
      <rPr>
        <vertAlign val="subscript"/>
        <sz val="10"/>
        <color indexed="8"/>
        <rFont val="ＭＳ Ｐゴシック"/>
        <family val="3"/>
      </rPr>
      <t>p,j,2</t>
    </r>
  </si>
  <si>
    <r>
      <t>C'</t>
    </r>
    <r>
      <rPr>
        <vertAlign val="subscript"/>
        <sz val="10"/>
        <color indexed="8"/>
        <rFont val="ＭＳ Ｐゴシック"/>
        <family val="3"/>
      </rPr>
      <t>p,j,3</t>
    </r>
  </si>
  <si>
    <r>
      <t>κ'</t>
    </r>
    <r>
      <rPr>
        <vertAlign val="subscript"/>
        <sz val="10"/>
        <rFont val="ＭＳ Ｐゴシック"/>
        <family val="3"/>
      </rPr>
      <t>p,j</t>
    </r>
  </si>
  <si>
    <r>
      <t>r'</t>
    </r>
    <r>
      <rPr>
        <vertAlign val="subscript"/>
        <sz val="10"/>
        <rFont val="ＭＳ Ｐゴシック"/>
        <family val="3"/>
      </rPr>
      <t>p,j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</si>
  <si>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p,j</t>
    </r>
  </si>
  <si>
    <r>
      <t>g/dm</t>
    </r>
    <r>
      <rPr>
        <vertAlign val="superscript"/>
        <sz val="10"/>
        <color indexed="8"/>
        <rFont val="ＭＳ Ｐゴシック"/>
        <family val="3"/>
      </rPr>
      <t>3</t>
    </r>
  </si>
  <si>
    <r>
      <t>C'</t>
    </r>
    <r>
      <rPr>
        <sz val="10"/>
        <color indexed="12"/>
        <rFont val="ＭＳ Ｐゴシック"/>
        <family val="3"/>
      </rPr>
      <t>=</t>
    </r>
    <r>
      <rPr>
        <i/>
        <sz val="10"/>
        <color indexed="12"/>
        <rFont val="ＭＳ Ｐゴシック"/>
        <family val="3"/>
      </rPr>
      <t>C'</t>
    </r>
    <r>
      <rPr>
        <vertAlign val="subscript"/>
        <sz val="10"/>
        <color indexed="12"/>
        <rFont val="ＭＳ Ｐゴシック"/>
        <family val="3"/>
      </rPr>
      <t>p</t>
    </r>
    <r>
      <rPr>
        <sz val="10"/>
        <color indexed="12"/>
        <rFont val="ＭＳ Ｐゴシック"/>
        <family val="3"/>
      </rPr>
      <t>=</t>
    </r>
  </si>
  <si>
    <r>
      <t>=</t>
    </r>
    <r>
      <rPr>
        <i/>
        <sz val="10"/>
        <color indexed="8"/>
        <rFont val="ＭＳ Ｐゴシック"/>
        <family val="3"/>
      </rPr>
      <t>C'</t>
    </r>
    <r>
      <rPr>
        <vertAlign val="subscript"/>
        <sz val="10"/>
        <color indexed="8"/>
        <rFont val="ＭＳ Ｐゴシック"/>
        <family val="3"/>
      </rPr>
      <t>p</t>
    </r>
  </si>
  <si>
    <r>
      <t xml:space="preserve">(2)Stack membrane potential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</si>
  <si>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 xml:space="preserve">(3) Stack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</si>
  <si>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p,j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</si>
  <si>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γ"C"</t>
    </r>
    <r>
      <rPr>
        <i/>
        <vertAlign val="subscript"/>
        <sz val="10"/>
        <rFont val="ＭＳ Ｐゴシック"/>
        <family val="3"/>
      </rPr>
      <t>1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</si>
  <si>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vertAlign val="superscript"/>
        <sz val="10"/>
        <rFont val="ＭＳ Ｐゴシック"/>
        <family val="3"/>
      </rPr>
      <t>*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alter</t>
    </r>
  </si>
  <si>
    <r>
      <t>r</t>
    </r>
    <r>
      <rPr>
        <vertAlign val="subscript"/>
        <sz val="10"/>
        <rFont val="ＭＳ Ｐゴシック"/>
        <family val="3"/>
      </rPr>
      <t>dire,p,j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</si>
  <si>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r</t>
    </r>
    <r>
      <rPr>
        <vertAlign val="subscript"/>
        <sz val="10"/>
        <rFont val="ＭＳ Ｐゴシック"/>
        <family val="3"/>
      </rPr>
      <t>p,j,memb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</si>
  <si>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p,j,memb</t>
    </r>
  </si>
  <si>
    <r>
      <t>/</t>
    </r>
    <r>
      <rPr>
        <i/>
        <sz val="10"/>
        <rFont val="ＭＳ Ｐゴシック"/>
        <family val="3"/>
      </rPr>
      <t>γ'</t>
    </r>
    <r>
      <rPr>
        <i/>
        <vertAlign val="subscript"/>
        <sz val="10"/>
        <rFont val="ＭＳ Ｐゴシック"/>
        <family val="3"/>
      </rPr>
      <t>p,j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p,j,1</t>
    </r>
  </si>
  <si>
    <r>
      <t>at x</t>
    </r>
    <r>
      <rPr>
        <sz val="10"/>
        <rFont val="ＭＳ Ｐゴシック"/>
        <family val="3"/>
      </rPr>
      <t xml:space="preserve"> = 0 </t>
    </r>
  </si>
  <si>
    <r>
      <t>at 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 xml:space="preserve">pl </t>
    </r>
  </si>
  <si>
    <t>Stack</t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</si>
  <si>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=C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</si>
  <si>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=-(A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 xml:space="preserve"> </t>
    </r>
  </si>
  <si>
    <r>
      <t>γ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</si>
  <si>
    <r>
      <t>γ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=2{(3-2Z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</si>
  <si>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γ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-2)(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</si>
  <si>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-2Z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</si>
  <si>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r>
      <t>+Z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</si>
  <si>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r>
      <t>C</t>
    </r>
    <r>
      <rPr>
        <vertAlign val="subscript"/>
        <sz val="10"/>
        <rFont val="ＭＳ Ｐゴシック"/>
        <family val="3"/>
      </rPr>
      <t>1</t>
    </r>
  </si>
  <si>
    <r>
      <t>C</t>
    </r>
    <r>
      <rPr>
        <vertAlign val="subscript"/>
        <sz val="10"/>
        <rFont val="ＭＳ Ｐゴシック"/>
        <family val="3"/>
      </rPr>
      <t>2</t>
    </r>
  </si>
  <si>
    <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</si>
  <si>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</si>
  <si>
    <r>
      <t>ζ</t>
    </r>
    <r>
      <rPr>
        <vertAlign val="subscript"/>
        <sz val="10"/>
        <color indexed="10"/>
        <rFont val="ＭＳ Ｐゴシック"/>
        <family val="3"/>
      </rPr>
      <t>inp</t>
    </r>
  </si>
  <si>
    <r>
      <t>ζ</t>
    </r>
    <r>
      <rPr>
        <vertAlign val="subscript"/>
        <sz val="10"/>
        <color indexed="10"/>
        <rFont val="ＭＳ Ｐゴシック"/>
        <family val="3"/>
      </rPr>
      <t>out</t>
    </r>
  </si>
  <si>
    <t>Control key 3</t>
  </si>
  <si>
    <t>= A</t>
  </si>
  <si>
    <r>
      <t xml:space="preserve">Adjust </t>
    </r>
    <r>
      <rPr>
        <i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i/>
        <sz val="10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to realize A = 0  Decision point 3  Control key 3</t>
    </r>
  </si>
  <si>
    <r>
      <t>C'</t>
    </r>
    <r>
      <rPr>
        <i/>
        <vertAlign val="subscript"/>
        <sz val="10"/>
        <color indexed="8"/>
        <rFont val="ＭＳ Ｐゴシック"/>
        <family val="3"/>
      </rPr>
      <t>in</t>
    </r>
  </si>
  <si>
    <r>
      <t>J</t>
    </r>
    <r>
      <rPr>
        <i/>
        <vertAlign val="subscript"/>
        <sz val="10"/>
        <color indexed="8"/>
        <rFont val="ＭＳ Ｐゴシック"/>
        <family val="3"/>
      </rPr>
      <t>V</t>
    </r>
  </si>
  <si>
    <r>
      <t>cm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/cm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s</t>
    </r>
  </si>
  <si>
    <r>
      <t>C'</t>
    </r>
    <r>
      <rPr>
        <i/>
        <vertAlign val="subscript"/>
        <sz val="10"/>
        <color indexed="8"/>
        <rFont val="ＭＳ Ｐゴシック"/>
        <family val="3"/>
      </rPr>
      <t>out</t>
    </r>
  </si>
  <si>
    <t>α</t>
  </si>
  <si>
    <r>
      <t>C'</t>
    </r>
    <r>
      <rPr>
        <i/>
        <vertAlign val="subscript"/>
        <sz val="10"/>
        <color indexed="12"/>
        <rFont val="ＭＳ Ｐゴシック"/>
        <family val="3"/>
      </rPr>
      <t>out</t>
    </r>
  </si>
  <si>
    <r>
      <t>Q'</t>
    </r>
    <r>
      <rPr>
        <i/>
        <vertAlign val="subscript"/>
        <sz val="10"/>
        <color indexed="8"/>
        <rFont val="ＭＳ Ｐゴシック"/>
        <family val="3"/>
      </rPr>
      <t>in</t>
    </r>
  </si>
  <si>
    <r>
      <t>cm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/s</t>
    </r>
  </si>
  <si>
    <r>
      <t>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/h</t>
    </r>
  </si>
  <si>
    <r>
      <t>Q"</t>
    </r>
    <r>
      <rPr>
        <i/>
        <vertAlign val="subscript"/>
        <sz val="10"/>
        <rFont val="ＭＳ Ｐゴシック"/>
        <family val="3"/>
      </rPr>
      <t>in</t>
    </r>
  </si>
  <si>
    <r>
      <t>Q</t>
    </r>
    <r>
      <rPr>
        <i/>
        <vertAlign val="superscript"/>
        <sz val="10"/>
        <color indexed="12"/>
        <rFont val="ＭＳ Ｐゴシック"/>
        <family val="3"/>
      </rPr>
      <t>0</t>
    </r>
  </si>
  <si>
    <r>
      <t>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/h</t>
    </r>
  </si>
  <si>
    <r>
      <t>Q'</t>
    </r>
    <r>
      <rPr>
        <i/>
        <vertAlign val="subscript"/>
        <sz val="10"/>
        <color indexed="12"/>
        <rFont val="ＭＳ Ｐゴシック"/>
        <family val="3"/>
      </rPr>
      <t>in</t>
    </r>
    <r>
      <rPr>
        <i/>
        <sz val="10"/>
        <color indexed="12"/>
        <rFont val="ＭＳ Ｐゴシック"/>
        <family val="3"/>
      </rPr>
      <t>-Q</t>
    </r>
    <r>
      <rPr>
        <i/>
        <vertAlign val="superscript"/>
        <sz val="10"/>
        <color indexed="12"/>
        <rFont val="ＭＳ Ｐゴシック"/>
        <family val="3"/>
      </rPr>
      <t>0</t>
    </r>
  </si>
  <si>
    <r>
      <t>SN</t>
    </r>
    <r>
      <rPr>
        <i/>
        <vertAlign val="superscript"/>
        <sz val="10"/>
        <color indexed="8"/>
        <rFont val="ＭＳ Ｐゴシック"/>
        <family val="3"/>
      </rPr>
      <t>*</t>
    </r>
  </si>
  <si>
    <r>
      <t>cm</t>
    </r>
    <r>
      <rPr>
        <vertAlign val="superscript"/>
        <sz val="10"/>
        <color indexed="8"/>
        <rFont val="ＭＳ Ｐゴシック"/>
        <family val="3"/>
      </rPr>
      <t>2</t>
    </r>
  </si>
  <si>
    <r>
      <t>SN</t>
    </r>
    <r>
      <rPr>
        <i/>
        <vertAlign val="superscript"/>
        <sz val="10"/>
        <color indexed="8"/>
        <rFont val="ＭＳ Ｐゴシック"/>
        <family val="3"/>
      </rPr>
      <t>*</t>
    </r>
    <r>
      <rPr>
        <i/>
        <sz val="10"/>
        <color indexed="8"/>
        <rFont val="ＭＳ Ｐゴシック"/>
        <family val="3"/>
      </rPr>
      <t>J</t>
    </r>
    <r>
      <rPr>
        <i/>
        <vertAlign val="subscript"/>
        <sz val="10"/>
        <color indexed="8"/>
        <rFont val="ＭＳ Ｐゴシック"/>
        <family val="3"/>
      </rPr>
      <t>V</t>
    </r>
  </si>
  <si>
    <r>
      <t>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/h</t>
    </r>
  </si>
  <si>
    <r>
      <t>Q'</t>
    </r>
    <r>
      <rPr>
        <i/>
        <vertAlign val="subscript"/>
        <sz val="10"/>
        <color indexed="8"/>
        <rFont val="ＭＳ Ｐゴシック"/>
        <family val="3"/>
      </rPr>
      <t>out</t>
    </r>
  </si>
  <si>
    <r>
      <t>IV</t>
    </r>
    <r>
      <rPr>
        <i/>
        <vertAlign val="subscript"/>
        <sz val="10"/>
        <color indexed="8"/>
        <rFont val="ＭＳ Ｐゴシック"/>
        <family val="3"/>
      </rPr>
      <t>cell</t>
    </r>
    <r>
      <rPr>
        <i/>
        <sz val="10"/>
        <color indexed="8"/>
        <rFont val="ＭＳ Ｐゴシック"/>
        <family val="3"/>
      </rPr>
      <t>N</t>
    </r>
    <r>
      <rPr>
        <i/>
        <vertAlign val="superscript"/>
        <sz val="10"/>
        <color indexed="8"/>
        <rFont val="ＭＳ Ｐゴシック"/>
        <family val="3"/>
      </rPr>
      <t>*</t>
    </r>
  </si>
  <si>
    <t>VA</t>
  </si>
  <si>
    <t>E</t>
  </si>
  <si>
    <r>
      <t>kWh/m</t>
    </r>
    <r>
      <rPr>
        <vertAlign val="superscript"/>
        <sz val="10"/>
        <color indexed="8"/>
        <rFont val="ＭＳ Ｐゴシック"/>
        <family val="3"/>
      </rPr>
      <t>3</t>
    </r>
  </si>
  <si>
    <t>Re</t>
  </si>
  <si>
    <t>Q'''</t>
  </si>
  <si>
    <r>
      <t>m</t>
    </r>
    <r>
      <rPr>
        <vertAlign val="superscript"/>
        <sz val="10"/>
        <color indexed="10"/>
        <rFont val="ＭＳ Ｐゴシック"/>
        <family val="3"/>
      </rPr>
      <t>3</t>
    </r>
    <r>
      <rPr>
        <sz val="10"/>
        <color indexed="10"/>
        <rFont val="ＭＳ Ｐゴシック"/>
        <family val="3"/>
      </rPr>
      <t>/h</t>
    </r>
  </si>
  <si>
    <r>
      <t>Q'''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</si>
  <si>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N</t>
    </r>
    <r>
      <rPr>
        <i/>
        <vertAlign val="superscript"/>
        <sz val="10"/>
        <color indexed="10"/>
        <rFont val="ＭＳ Ｐゴシック"/>
        <family val="3"/>
      </rPr>
      <t>*</t>
    </r>
  </si>
  <si>
    <t>pair</t>
  </si>
  <si>
    <r>
      <t>l</t>
    </r>
    <r>
      <rPr>
        <vertAlign val="subscript"/>
        <sz val="10"/>
        <color indexed="8"/>
        <rFont val="ＭＳ Ｐゴシック"/>
        <family val="3"/>
      </rPr>
      <t>1</t>
    </r>
  </si>
  <si>
    <r>
      <t>m</t>
    </r>
    <r>
      <rPr>
        <vertAlign val="subscript"/>
        <sz val="10"/>
        <rFont val="ＭＳ Ｐゴシック"/>
        <family val="3"/>
      </rPr>
      <t>1</t>
    </r>
  </si>
  <si>
    <r>
      <t>n</t>
    </r>
    <r>
      <rPr>
        <vertAlign val="subscript"/>
        <sz val="10"/>
        <rFont val="ＭＳ Ｐゴシック"/>
        <family val="3"/>
      </rPr>
      <t>1</t>
    </r>
  </si>
  <si>
    <r>
      <t>l</t>
    </r>
    <r>
      <rPr>
        <vertAlign val="subscript"/>
        <sz val="10"/>
        <rFont val="ＭＳ Ｐゴシック"/>
        <family val="3"/>
      </rPr>
      <t>2</t>
    </r>
  </si>
  <si>
    <r>
      <t>m</t>
    </r>
    <r>
      <rPr>
        <vertAlign val="subscript"/>
        <sz val="10"/>
        <rFont val="ＭＳ Ｐゴシック"/>
        <family val="3"/>
      </rPr>
      <t>2</t>
    </r>
  </si>
  <si>
    <r>
      <t>n</t>
    </r>
    <r>
      <rPr>
        <vertAlign val="subscript"/>
        <sz val="10"/>
        <rFont val="ＭＳ Ｐゴシック"/>
        <family val="3"/>
      </rPr>
      <t>2</t>
    </r>
  </si>
  <si>
    <r>
      <t>l</t>
    </r>
    <r>
      <rPr>
        <vertAlign val="subscript"/>
        <sz val="10"/>
        <rFont val="ＭＳ Ｐゴシック"/>
        <family val="3"/>
      </rPr>
      <t>3</t>
    </r>
  </si>
  <si>
    <t>=B</t>
  </si>
  <si>
    <r>
      <t xml:space="preserve">Adjust </t>
    </r>
    <r>
      <rPr>
        <i/>
        <sz val="10"/>
        <color indexed="10"/>
        <rFont val="ＭＳ Ｐゴシック"/>
        <family val="3"/>
      </rPr>
      <t>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>#</t>
    </r>
    <r>
      <rPr>
        <sz val="10"/>
        <color indexed="10"/>
        <rFont val="ＭＳ Ｐゴシック"/>
        <family val="3"/>
      </rPr>
      <t>をto realize B = 0</t>
    </r>
  </si>
  <si>
    <t>Minimum concentration</t>
  </si>
  <si>
    <r>
      <t>V</t>
    </r>
    <r>
      <rPr>
        <i/>
        <vertAlign val="subscript"/>
        <sz val="12"/>
        <rFont val="ＭＳ Ｐゴシック"/>
        <family val="3"/>
      </rPr>
      <t>cell</t>
    </r>
  </si>
  <si>
    <t>a</t>
  </si>
  <si>
    <r>
      <t>C</t>
    </r>
    <r>
      <rPr>
        <i/>
        <vertAlign val="superscript"/>
        <sz val="12"/>
        <color indexed="8"/>
        <rFont val="ＭＳ Ｐゴシック"/>
        <family val="3"/>
      </rPr>
      <t>0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</si>
  <si>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</si>
  <si>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C'</t>
    </r>
    <r>
      <rPr>
        <i/>
        <vertAlign val="subscript"/>
        <sz val="12"/>
        <rFont val="ＭＳ Ｐゴシック"/>
        <family val="3"/>
      </rPr>
      <t>0</t>
    </r>
  </si>
  <si>
    <r>
      <t>C'</t>
    </r>
    <r>
      <rPr>
        <i/>
        <vertAlign val="subscript"/>
        <sz val="12"/>
        <rFont val="ＭＳ Ｐゴシック"/>
        <family val="3"/>
      </rPr>
      <t>in</t>
    </r>
  </si>
  <si>
    <r>
      <t>C"</t>
    </r>
    <r>
      <rPr>
        <i/>
        <vertAlign val="subscript"/>
        <sz val="12"/>
        <rFont val="ＭＳ Ｐゴシック"/>
        <family val="3"/>
      </rPr>
      <t xml:space="preserve">in </t>
    </r>
    <r>
      <rPr>
        <i/>
        <sz val="12"/>
        <rFont val="ＭＳ Ｐゴシック"/>
        <family val="3"/>
      </rPr>
      <t>= C</t>
    </r>
    <r>
      <rPr>
        <i/>
        <vertAlign val="superscript"/>
        <sz val="12"/>
        <rFont val="ＭＳ Ｐゴシック"/>
        <family val="3"/>
      </rPr>
      <t xml:space="preserve">0 </t>
    </r>
  </si>
  <si>
    <r>
      <t>u'</t>
    </r>
    <r>
      <rPr>
        <i/>
        <vertAlign val="subscript"/>
        <sz val="12"/>
        <rFont val="ＭＳ Ｐゴシック"/>
        <family val="3"/>
      </rPr>
      <t>in</t>
    </r>
  </si>
  <si>
    <r>
      <t>u"</t>
    </r>
    <r>
      <rPr>
        <i/>
        <vertAlign val="subscript"/>
        <sz val="12"/>
        <rFont val="ＭＳ Ｐゴシック"/>
        <family val="3"/>
      </rPr>
      <t>in</t>
    </r>
  </si>
  <si>
    <r>
      <t>J</t>
    </r>
    <r>
      <rPr>
        <i/>
        <vertAlign val="subscript"/>
        <sz val="12"/>
        <color indexed="8"/>
        <rFont val="ＭＳ Ｐゴシック"/>
        <family val="3"/>
      </rPr>
      <t>S</t>
    </r>
  </si>
  <si>
    <r>
      <t>eq/cm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</si>
  <si>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r>
      <t>ζ</t>
    </r>
    <r>
      <rPr>
        <vertAlign val="subscript"/>
        <sz val="12"/>
        <color indexed="8"/>
        <rFont val="ＭＳ Ｐゴシック"/>
        <family val="3"/>
      </rPr>
      <t>out</t>
    </r>
  </si>
  <si>
    <r>
      <t>J</t>
    </r>
    <r>
      <rPr>
        <i/>
        <vertAlign val="subscript"/>
        <sz val="12"/>
        <rFont val="ＭＳ Ｐゴシック"/>
        <family val="3"/>
      </rPr>
      <t>V</t>
    </r>
  </si>
  <si>
    <r>
      <t>cm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</si>
  <si>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t>p</t>
  </si>
  <si>
    <r>
      <t>C'</t>
    </r>
    <r>
      <rPr>
        <i/>
        <vertAlign val="subscript"/>
        <sz val="12"/>
        <rFont val="ＭＳ Ｐゴシック"/>
        <family val="3"/>
      </rPr>
      <t>out</t>
    </r>
  </si>
  <si>
    <r>
      <t>A/dm</t>
    </r>
    <r>
      <rPr>
        <vertAlign val="superscript"/>
        <sz val="12"/>
        <color indexed="8"/>
        <rFont val="ＭＳ Ｐゴシック"/>
        <family val="3"/>
      </rPr>
      <t>2</t>
    </r>
  </si>
  <si>
    <r>
      <t>C"</t>
    </r>
    <r>
      <rPr>
        <i/>
        <vertAlign val="subscript"/>
        <sz val="12"/>
        <rFont val="ＭＳ Ｐゴシック"/>
        <family val="3"/>
      </rPr>
      <t>out</t>
    </r>
  </si>
  <si>
    <r>
      <t>(</t>
    </r>
    <r>
      <rPr>
        <i/>
        <sz val="12"/>
        <color indexed="8"/>
        <rFont val="ＭＳ Ｐゴシック"/>
        <family val="3"/>
      </rPr>
      <t>I/S</t>
    </r>
    <r>
      <rPr>
        <sz val="12"/>
        <color indexed="8"/>
        <rFont val="ＭＳ Ｐゴシック"/>
        <family val="3"/>
      </rPr>
      <t>)</t>
    </r>
    <r>
      <rPr>
        <vertAlign val="subscript"/>
        <sz val="12"/>
        <color indexed="8"/>
        <rFont val="ＭＳ Ｐゴシック"/>
        <family val="3"/>
      </rPr>
      <t>lim</t>
    </r>
  </si>
  <si>
    <r>
      <t>C"</t>
    </r>
    <r>
      <rPr>
        <i/>
        <vertAlign val="subscript"/>
        <sz val="12"/>
        <rFont val="ＭＳ Ｐゴシック"/>
        <family val="3"/>
      </rPr>
      <t>p</t>
    </r>
    <r>
      <rPr>
        <i/>
        <vertAlign val="superscript"/>
        <sz val="12"/>
        <rFont val="ＭＳ Ｐゴシック"/>
        <family val="3"/>
      </rPr>
      <t>♭</t>
    </r>
  </si>
  <si>
    <r>
      <t>kWh/m</t>
    </r>
    <r>
      <rPr>
        <vertAlign val="superscript"/>
        <sz val="12"/>
        <color indexed="8"/>
        <rFont val="ＭＳ Ｐゴシック"/>
        <family val="3"/>
      </rPr>
      <t>3</t>
    </r>
  </si>
  <si>
    <t>1. Fundamental specifications of an electrodialyzer and operating conditions</t>
  </si>
  <si>
    <t>2 Fundamental operating conditions of an electrodialyzeer</t>
  </si>
  <si>
    <t xml:space="preserve">   Diluate concentration, Concentrate concentration,  Ion flux, Volume flux, Current efficiency, Linear velocity in desalting cells, Desalting ratio.</t>
  </si>
  <si>
    <t>3 Solution electric resistance and salt activity coefficient in concentrating cells</t>
  </si>
  <si>
    <t>4 Solution electric resistance and salt activity coefficient at the inlets of desalting cells</t>
  </si>
  <si>
    <r>
      <t xml:space="preserve">5 Computation at 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out</t>
    </r>
  </si>
  <si>
    <r>
      <t xml:space="preserve">6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, ohmic voltage, membrane potential, cell voltage, energy consumption</t>
    </r>
  </si>
  <si>
    <r>
      <t xml:space="preserve">7 Computation at 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p</t>
    </r>
  </si>
  <si>
    <r>
      <t xml:space="preserve">8 </t>
    </r>
    <r>
      <rPr>
        <b/>
        <i/>
        <sz val="12"/>
        <rFont val="ＭＳ Ｐゴシック"/>
        <family val="3"/>
      </rPr>
      <t>p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1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3</t>
    </r>
  </si>
  <si>
    <t>9. Feed-and-bleed material balance, energy consumption, desalting ratio, water recovery</t>
  </si>
  <si>
    <t>10 Limiting current density</t>
  </si>
  <si>
    <t>Summary</t>
  </si>
  <si>
    <r>
      <t>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>#</t>
    </r>
  </si>
  <si>
    <r>
      <t>eq/cm</t>
    </r>
    <r>
      <rPr>
        <vertAlign val="superscript"/>
        <sz val="10"/>
        <color indexed="10"/>
        <rFont val="ＭＳ Ｐゴシック"/>
        <family val="3"/>
      </rPr>
      <t>3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</si>
  <si>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</t>
    </r>
  </si>
  <si>
    <r>
      <t>Z</t>
    </r>
    <r>
      <rPr>
        <i/>
        <vertAlign val="subscript"/>
        <sz val="10"/>
        <color indexed="10"/>
        <rFont val="ＭＳ Ｐゴシック"/>
        <family val="3"/>
      </rPr>
      <t>2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</si>
  <si>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- </t>
    </r>
    <r>
      <rPr>
        <i/>
        <sz val="10"/>
        <color indexed="10"/>
        <rFont val="ＭＳ Ｐゴシック"/>
        <family val="3"/>
      </rPr>
      <t>Z</t>
    </r>
    <r>
      <rPr>
        <i/>
        <vertAlign val="subscript"/>
        <sz val="10"/>
        <color indexed="10"/>
        <rFont val="ＭＳ Ｐゴシック"/>
        <family val="3"/>
      </rPr>
      <t>2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</si>
  <si>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  <r>
      <rPr>
        <sz val="10"/>
        <color indexed="10"/>
        <rFont val="ＭＳ Ｐゴシック"/>
        <family val="3"/>
      </rPr>
      <t>-</t>
    </r>
    <r>
      <rPr>
        <i/>
        <sz val="10"/>
        <color indexed="10"/>
        <rFont val="ＭＳ Ｐゴシック"/>
        <family val="3"/>
      </rPr>
      <t>ζ</t>
    </r>
    <r>
      <rPr>
        <vertAlign val="subscript"/>
        <sz val="10"/>
        <color indexed="10"/>
        <rFont val="ＭＳ Ｐゴシック"/>
        <family val="3"/>
      </rPr>
      <t xml:space="preserve">inp </t>
    </r>
    <r>
      <rPr>
        <sz val="10"/>
        <color indexed="10"/>
        <rFont val="ＭＳ Ｐゴシック"/>
        <family val="3"/>
      </rPr>
      <t>=</t>
    </r>
  </si>
  <si>
    <t>Companion site 4</t>
  </si>
  <si>
    <t>σ</t>
  </si>
  <si>
    <t>-</t>
  </si>
  <si>
    <r>
      <t>u'</t>
    </r>
    <r>
      <rPr>
        <i/>
        <vertAlign val="subscript"/>
        <sz val="10"/>
        <color indexed="20"/>
        <rFont val="ＭＳ Ｐゴシック"/>
        <family val="3"/>
      </rPr>
      <t>in</t>
    </r>
  </si>
  <si>
    <t>cm/s</t>
  </si>
  <si>
    <r>
      <t>u"</t>
    </r>
    <r>
      <rPr>
        <i/>
        <vertAlign val="subscript"/>
        <sz val="10"/>
        <color indexed="20"/>
        <rFont val="ＭＳ Ｐゴシック"/>
        <family val="3"/>
      </rPr>
      <t>in</t>
    </r>
  </si>
  <si>
    <r>
      <t>C</t>
    </r>
    <r>
      <rPr>
        <i/>
        <vertAlign val="superscript"/>
        <sz val="10"/>
        <color indexed="20"/>
        <rFont val="ＭＳ Ｐゴシック"/>
        <family val="3"/>
      </rPr>
      <t>0</t>
    </r>
  </si>
  <si>
    <r>
      <t>mg/dm</t>
    </r>
    <r>
      <rPr>
        <vertAlign val="superscript"/>
        <sz val="12"/>
        <color indexed="20"/>
        <rFont val="ＭＳ Ｐゴシック"/>
        <family val="3"/>
      </rPr>
      <t>3</t>
    </r>
  </si>
  <si>
    <r>
      <t>I/S</t>
    </r>
    <r>
      <rPr>
        <i/>
        <vertAlign val="superscript"/>
        <sz val="10"/>
        <color indexed="10"/>
        <rFont val="ＭＳ Ｐゴシック"/>
        <family val="3"/>
      </rPr>
      <t>*</t>
    </r>
  </si>
  <si>
    <t>Current density  Control key 4</t>
  </si>
  <si>
    <r>
      <t xml:space="preserve">Adjust </t>
    </r>
    <r>
      <rPr>
        <i/>
        <sz val="10"/>
        <color indexed="10"/>
        <rFont val="ＭＳ Ｐゴシック"/>
        <family val="3"/>
      </rPr>
      <t>I/S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realize </t>
    </r>
    <r>
      <rPr>
        <i/>
        <sz val="10"/>
        <color indexed="10"/>
        <rFont val="ＭＳ Ｐゴシック"/>
        <family val="3"/>
      </rPr>
      <t>V</t>
    </r>
    <r>
      <rPr>
        <i/>
        <vertAlign val="subscript"/>
        <sz val="10"/>
        <color indexed="10"/>
        <rFont val="ＭＳ Ｐゴシック"/>
        <family val="3"/>
      </rPr>
      <t>cell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= </t>
    </r>
    <r>
      <rPr>
        <i/>
        <sz val="10"/>
        <color indexed="10"/>
        <rFont val="ＭＳ Ｐゴシック"/>
        <family val="3"/>
      </rPr>
      <t>V</t>
    </r>
    <r>
      <rPr>
        <i/>
        <vertAlign val="subscript"/>
        <sz val="10"/>
        <color indexed="10"/>
        <rFont val="ＭＳ Ｐゴシック"/>
        <family val="3"/>
      </rPr>
      <t xml:space="preserve">cell </t>
    </r>
    <r>
      <rPr>
        <sz val="10"/>
        <color indexed="10"/>
        <rFont val="ＭＳ Ｐゴシック"/>
        <family val="3"/>
      </rPr>
      <t xml:space="preserve"> Decision point 4  </t>
    </r>
  </si>
  <si>
    <t>N</t>
  </si>
  <si>
    <r>
      <t>a'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a"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</t>
    </r>
  </si>
  <si>
    <t>b</t>
  </si>
  <si>
    <t>l</t>
  </si>
  <si>
    <t>Number of cell pairs  Input</t>
  </si>
  <si>
    <t xml:space="preserve">Flow-pass thickness  Input </t>
  </si>
  <si>
    <t>Flow-pass width  Input</t>
  </si>
  <si>
    <t xml:space="preserve">Flow-pass length  Input </t>
  </si>
  <si>
    <t>χ</t>
  </si>
  <si>
    <t>cm</t>
  </si>
  <si>
    <t>θ</t>
  </si>
  <si>
    <t>=3/π=60°</t>
  </si>
  <si>
    <t>pairs</t>
  </si>
  <si>
    <t>Distance between soacer rods  Input</t>
  </si>
  <si>
    <t>Crossing angle of spacer rods  Input</t>
  </si>
  <si>
    <t>ρ</t>
  </si>
  <si>
    <r>
      <t>cm</t>
    </r>
    <r>
      <rPr>
        <vertAlign val="superscript"/>
        <sz val="10"/>
        <color indexed="12"/>
        <rFont val="ＭＳ Ｐゴシック"/>
        <family val="3"/>
      </rPr>
      <t>4</t>
    </r>
    <r>
      <rPr>
        <sz val="10"/>
        <color indexed="12"/>
        <rFont val="ＭＳ Ｐゴシック"/>
        <family val="3"/>
      </rPr>
      <t>/eq・s</t>
    </r>
  </si>
  <si>
    <t>λ</t>
  </si>
  <si>
    <t>eq/A・s</t>
  </si>
  <si>
    <t>μ</t>
  </si>
  <si>
    <t>φ</t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</si>
  <si>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/A・s</t>
    </r>
  </si>
  <si>
    <r>
      <t>t</t>
    </r>
    <r>
      <rPr>
        <vertAlign val="subscript"/>
        <sz val="10"/>
        <color indexed="12"/>
        <rFont val="ＭＳ Ｐゴシック"/>
        <family val="3"/>
      </rPr>
      <t>K</t>
    </r>
    <r>
      <rPr>
        <sz val="10"/>
        <color indexed="12"/>
        <rFont val="ＭＳ Ｐゴシック"/>
        <family val="3"/>
      </rPr>
      <t>+</t>
    </r>
    <r>
      <rPr>
        <i/>
        <sz val="10"/>
        <color indexed="12"/>
        <rFont val="ＭＳ Ｐゴシック"/>
        <family val="3"/>
      </rPr>
      <t>t</t>
    </r>
    <r>
      <rPr>
        <vertAlign val="subscript"/>
        <sz val="10"/>
        <color indexed="12"/>
        <rFont val="ＭＳ Ｐゴシック"/>
        <family val="3"/>
      </rPr>
      <t>A</t>
    </r>
  </si>
  <si>
    <t>Alternating current electric resistance of a membrane pair</t>
  </si>
  <si>
    <r>
      <t>r</t>
    </r>
    <r>
      <rPr>
        <vertAlign val="subscript"/>
        <sz val="10"/>
        <color indexed="12"/>
        <rFont val="ＭＳ Ｐゴシック"/>
        <family val="3"/>
      </rPr>
      <t>alter</t>
    </r>
  </si>
  <si>
    <r>
      <t>Ωcm</t>
    </r>
    <r>
      <rPr>
        <vertAlign val="superscript"/>
        <sz val="10"/>
        <color indexed="12"/>
        <rFont val="ＭＳ Ｐゴシック"/>
        <family val="3"/>
      </rPr>
      <t>2</t>
    </r>
  </si>
  <si>
    <t>T</t>
  </si>
  <si>
    <t>℃</t>
  </si>
  <si>
    <t xml:space="preserve">Temperature  Input </t>
  </si>
  <si>
    <t>Salt concentration of a raw solution  Input 　　　</t>
  </si>
  <si>
    <t>Control key 1  Input</t>
  </si>
  <si>
    <t xml:space="preserve">Salt concentration at the outlets of desalting cells </t>
  </si>
  <si>
    <r>
      <t>C"</t>
    </r>
    <r>
      <rPr>
        <i/>
        <vertAlign val="subscript"/>
        <sz val="10"/>
        <color indexed="8"/>
        <rFont val="ＭＳ Ｐゴシック"/>
        <family val="3"/>
      </rPr>
      <t xml:space="preserve">in </t>
    </r>
    <r>
      <rPr>
        <i/>
        <sz val="10"/>
        <color indexed="8"/>
        <rFont val="ＭＳ Ｐゴシック"/>
        <family val="3"/>
      </rPr>
      <t>= C</t>
    </r>
    <r>
      <rPr>
        <i/>
        <vertAlign val="superscript"/>
        <sz val="10"/>
        <color indexed="8"/>
        <rFont val="ＭＳ Ｐゴシック"/>
        <family val="3"/>
      </rPr>
      <t>0</t>
    </r>
  </si>
  <si>
    <r>
      <t>eq/cm</t>
    </r>
    <r>
      <rPr>
        <vertAlign val="superscript"/>
        <sz val="10"/>
        <color indexed="8"/>
        <rFont val="ＭＳ Ｐゴシック"/>
        <family val="3"/>
      </rPr>
      <t>3</t>
    </r>
  </si>
  <si>
    <r>
      <t>C"</t>
    </r>
    <r>
      <rPr>
        <i/>
        <vertAlign val="subscript"/>
        <sz val="10"/>
        <color indexed="8"/>
        <rFont val="ＭＳ Ｐゴシック"/>
        <family val="3"/>
      </rPr>
      <t>in</t>
    </r>
    <r>
      <rPr>
        <i/>
        <sz val="10"/>
        <color indexed="8"/>
        <rFont val="ＭＳ Ｐゴシック"/>
        <family val="3"/>
      </rPr>
      <t xml:space="preserve"> = C</t>
    </r>
    <r>
      <rPr>
        <i/>
        <vertAlign val="superscript"/>
        <sz val="10"/>
        <color indexed="8"/>
        <rFont val="ＭＳ Ｐゴシック"/>
        <family val="3"/>
      </rPr>
      <t>0</t>
    </r>
  </si>
  <si>
    <r>
      <t>mg/dm</t>
    </r>
    <r>
      <rPr>
        <vertAlign val="superscript"/>
        <sz val="10"/>
        <color indexed="8"/>
        <rFont val="ＭＳ Ｐゴシック"/>
        <family val="3"/>
      </rPr>
      <t>3</t>
    </r>
  </si>
  <si>
    <r>
      <t>C"</t>
    </r>
    <r>
      <rPr>
        <i/>
        <vertAlign val="subscript"/>
        <sz val="10"/>
        <color indexed="8"/>
        <rFont val="ＭＳ Ｐゴシック"/>
        <family val="3"/>
      </rPr>
      <t>out</t>
    </r>
  </si>
  <si>
    <t>Salt concentration at the outlets of concentrating cells</t>
  </si>
  <si>
    <r>
      <t>C"</t>
    </r>
    <r>
      <rPr>
        <i/>
        <vertAlign val="superscript"/>
        <sz val="10"/>
        <color indexed="8"/>
        <rFont val="ＭＳ Ｐゴシック"/>
        <family val="3"/>
      </rPr>
      <t>♭</t>
    </r>
  </si>
  <si>
    <t>Salt concentration of a solution passing through a membrane pair</t>
  </si>
  <si>
    <r>
      <t>J</t>
    </r>
    <r>
      <rPr>
        <vertAlign val="subscript"/>
        <sz val="10"/>
        <color indexed="12"/>
        <rFont val="ＭＳ Ｐゴシック"/>
        <family val="3"/>
      </rPr>
      <t>S</t>
    </r>
  </si>
  <si>
    <r>
      <t>eq/cm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</si>
  <si>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Ion flux</t>
  </si>
  <si>
    <r>
      <t>J</t>
    </r>
    <r>
      <rPr>
        <i/>
        <vertAlign val="subscript"/>
        <sz val="10"/>
        <color indexed="12"/>
        <rFont val="ＭＳ Ｐゴシック"/>
        <family val="3"/>
      </rPr>
      <t>V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</si>
  <si>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</si>
  <si>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Solution flux</t>
  </si>
  <si>
    <t>η</t>
  </si>
  <si>
    <t>Current efficiency</t>
  </si>
  <si>
    <t>r"</t>
  </si>
  <si>
    <r>
      <t>Ωcm</t>
    </r>
    <r>
      <rPr>
        <vertAlign val="superscript"/>
        <sz val="10"/>
        <color indexed="12"/>
        <rFont val="ＭＳ Ｐゴシック"/>
        <family val="3"/>
      </rPr>
      <t>2</t>
    </r>
  </si>
  <si>
    <r>
      <t>r'</t>
    </r>
    <r>
      <rPr>
        <vertAlign val="subscript"/>
        <sz val="10"/>
        <color indexed="12"/>
        <rFont val="ＭＳ Ｐゴシック"/>
        <family val="3"/>
      </rPr>
      <t>in</t>
    </r>
  </si>
  <si>
    <t>Solution electric resistance</t>
  </si>
  <si>
    <r>
      <t>r</t>
    </r>
    <r>
      <rPr>
        <vertAlign val="subscript"/>
        <sz val="10"/>
        <color indexed="12"/>
        <rFont val="ＭＳ Ｐゴシック"/>
        <family val="3"/>
      </rPr>
      <t>in,memb</t>
    </r>
  </si>
  <si>
    <r>
      <t xml:space="preserve">Membrane pair direct current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0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</si>
  <si>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 xml:space="preserve">l </t>
    </r>
    <r>
      <rPr>
        <sz val="10"/>
        <color indexed="12"/>
        <rFont val="ＭＳ Ｐゴシック"/>
        <family val="3"/>
      </rPr>
      <t>in a desalting cell</t>
    </r>
  </si>
  <si>
    <r>
      <t>Ωcm</t>
    </r>
    <r>
      <rPr>
        <vertAlign val="superscript"/>
        <sz val="10"/>
        <color indexed="12"/>
        <rFont val="ＭＳ Ｐゴシック"/>
        <family val="3"/>
      </rPr>
      <t>2</t>
    </r>
  </si>
  <si>
    <r>
      <t xml:space="preserve">Membrane pair direct current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l</t>
    </r>
  </si>
  <si>
    <t>Current density</t>
  </si>
  <si>
    <t>Ohmic voltage</t>
  </si>
  <si>
    <t>Membr. potential</t>
  </si>
  <si>
    <t>Cell voltage</t>
  </si>
  <si>
    <r>
      <t>i</t>
    </r>
    <r>
      <rPr>
        <vertAlign val="subscript"/>
        <sz val="10"/>
        <color indexed="12"/>
        <rFont val="ＭＳ Ｐゴシック"/>
        <family val="3"/>
      </rPr>
      <t>out</t>
    </r>
  </si>
  <si>
    <r>
      <t>B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</si>
  <si>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B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</si>
  <si>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V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</si>
  <si>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A/cm</t>
    </r>
    <r>
      <rPr>
        <vertAlign val="superscript"/>
        <sz val="10"/>
        <color indexed="12"/>
        <rFont val="ＭＳ Ｐゴシック"/>
        <family val="3"/>
      </rPr>
      <t>2</t>
    </r>
  </si>
  <si>
    <t>V/pair</t>
  </si>
  <si>
    <r>
      <t>i</t>
    </r>
    <r>
      <rPr>
        <vertAlign val="subscript"/>
        <sz val="10"/>
        <color indexed="12"/>
        <rFont val="ＭＳ Ｐゴシック"/>
        <family val="3"/>
      </rPr>
      <t>in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</si>
  <si>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</si>
  <si>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</si>
  <si>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V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</si>
  <si>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 xml:space="preserve">Energy consumption </t>
    </r>
    <r>
      <rPr>
        <i/>
        <sz val="10"/>
        <color indexed="12"/>
        <rFont val="ＭＳ Ｐゴシック"/>
        <family val="3"/>
      </rPr>
      <t>E</t>
    </r>
  </si>
  <si>
    <r>
      <t>kWh/m</t>
    </r>
    <r>
      <rPr>
        <vertAlign val="superscript"/>
        <sz val="10"/>
        <color indexed="12"/>
        <rFont val="ＭＳ Ｐゴシック"/>
        <family val="3"/>
      </rPr>
      <t>3</t>
    </r>
  </si>
  <si>
    <r>
      <t xml:space="preserve">Solution electric resistance at x = </t>
    </r>
    <r>
      <rPr>
        <i/>
        <sz val="10"/>
        <color indexed="12"/>
        <rFont val="ＭＳ Ｐゴシック"/>
        <family val="3"/>
      </rPr>
      <t>pl</t>
    </r>
    <r>
      <rPr>
        <sz val="10"/>
        <color indexed="12"/>
        <rFont val="ＭＳ Ｐゴシック"/>
        <family val="3"/>
      </rPr>
      <t xml:space="preserve"> in a desalting cell</t>
    </r>
  </si>
  <si>
    <r>
      <t xml:space="preserve">Membrane pair direct current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>=</t>
    </r>
    <r>
      <rPr>
        <i/>
        <sz val="10"/>
        <color indexed="12"/>
        <rFont val="ＭＳ Ｐゴシック"/>
        <family val="3"/>
      </rPr>
      <t>pl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</si>
  <si>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=(Z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)(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</si>
  <si>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=2[{3</t>
    </r>
  </si>
  <si>
    <r>
      <t>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=-3[{2</t>
    </r>
  </si>
  <si>
    <r>
      <t>(a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)/(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</si>
  <si>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/(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</si>
  <si>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+Z</t>
    </r>
    <r>
      <rPr>
        <vertAlign val="subscript"/>
        <sz val="10"/>
        <color indexed="12"/>
        <rFont val="ＭＳ Ｐゴシック"/>
        <family val="3"/>
      </rPr>
      <t>2</t>
    </r>
  </si>
  <si>
    <r>
      <t>-(2Z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</si>
  <si>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-(Z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</si>
  <si>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=ζ</t>
    </r>
    <r>
      <rPr>
        <vertAlign val="subscript"/>
        <sz val="10"/>
        <color indexed="12"/>
        <rFont val="ＭＳ Ｐゴシック"/>
        <family val="3"/>
      </rPr>
      <t>out</t>
    </r>
  </si>
  <si>
    <r>
      <t>=ζ</t>
    </r>
    <r>
      <rPr>
        <vertAlign val="subscript"/>
        <sz val="10"/>
        <color indexed="12"/>
        <rFont val="ＭＳ Ｐゴシック"/>
        <family val="3"/>
      </rPr>
      <t>in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</si>
  <si>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)-2Z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</si>
  <si>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</si>
  <si>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t>α</t>
  </si>
  <si>
    <r>
      <t>C'</t>
    </r>
    <r>
      <rPr>
        <i/>
        <vertAlign val="subscript"/>
        <sz val="10"/>
        <color indexed="12"/>
        <rFont val="ＭＳ Ｐゴシック"/>
        <family val="3"/>
      </rPr>
      <t>0</t>
    </r>
    <r>
      <rPr>
        <i/>
        <sz val="10"/>
        <color indexed="12"/>
        <rFont val="ＭＳ Ｐゴシック"/>
        <family val="3"/>
      </rPr>
      <t xml:space="preserve">  </t>
    </r>
  </si>
  <si>
    <r>
      <t>eq/cm</t>
    </r>
    <r>
      <rPr>
        <vertAlign val="superscript"/>
        <sz val="10"/>
        <color indexed="12"/>
        <rFont val="ＭＳ Ｐゴシック"/>
        <family val="3"/>
      </rPr>
      <t>3</t>
    </r>
  </si>
  <si>
    <r>
      <t xml:space="preserve">Adjust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in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realize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out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=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out</t>
    </r>
    <r>
      <rPr>
        <vertAlign val="subscript"/>
        <sz val="10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 xml:space="preserve"> Decision point 1</t>
    </r>
  </si>
  <si>
    <t>Solution electric resistance</t>
  </si>
  <si>
    <r>
      <t>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/h</t>
    </r>
  </si>
  <si>
    <r>
      <t>C'</t>
    </r>
    <r>
      <rPr>
        <i/>
        <vertAlign val="subscript"/>
        <sz val="10"/>
        <color indexed="20"/>
        <rFont val="ＭＳ Ｐゴシック"/>
        <family val="3"/>
      </rPr>
      <t>0</t>
    </r>
    <r>
      <rPr>
        <i/>
        <sz val="10"/>
        <color indexed="20"/>
        <rFont val="ＭＳ Ｐゴシック"/>
        <family val="3"/>
      </rPr>
      <t xml:space="preserve">  </t>
    </r>
  </si>
  <si>
    <r>
      <t>mg/dm</t>
    </r>
    <r>
      <rPr>
        <vertAlign val="superscript"/>
        <sz val="10"/>
        <color indexed="20"/>
        <rFont val="ＭＳ Ｐゴシック"/>
        <family val="3"/>
      </rPr>
      <t>3</t>
    </r>
  </si>
  <si>
    <t xml:space="preserve">Salt concentration supplied to the circulation tank  Input </t>
  </si>
  <si>
    <t xml:space="preserve">Linear velocity at x = 0  Input </t>
  </si>
  <si>
    <t xml:space="preserve">Standard deviation  Input </t>
  </si>
  <si>
    <t>Control key 4  Input</t>
  </si>
  <si>
    <r>
      <t>u</t>
    </r>
    <r>
      <rPr>
        <vertAlign val="subscript"/>
        <sz val="10"/>
        <color indexed="12"/>
        <rFont val="ＭＳ Ｐゴシック"/>
        <family val="3"/>
      </rPr>
      <t>in</t>
    </r>
    <r>
      <rPr>
        <vertAlign val="superscript"/>
        <sz val="10"/>
        <color indexed="12"/>
        <rFont val="ＭＳ Ｐゴシック"/>
        <family val="3"/>
      </rPr>
      <t>#</t>
    </r>
  </si>
  <si>
    <t>Minimum velocity</t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</si>
  <si>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  <r>
      <rPr>
        <vertAlign val="subscript"/>
        <sz val="10"/>
        <color indexed="12"/>
        <rFont val="ＭＳ Ｐゴシック"/>
        <family val="3"/>
      </rPr>
      <t>lim</t>
    </r>
  </si>
  <si>
    <r>
      <t>A/dm</t>
    </r>
    <r>
      <rPr>
        <vertAlign val="superscript"/>
        <sz val="10"/>
        <color indexed="12"/>
        <rFont val="ＭＳ Ｐゴシック"/>
        <family val="3"/>
      </rPr>
      <t>2</t>
    </r>
  </si>
  <si>
    <t>Limiting current density</t>
  </si>
  <si>
    <t xml:space="preserve">Constant voltage feed-and-bleed electrodialysis </t>
  </si>
  <si>
    <r>
      <t xml:space="preserve">Salt concentration at the inlets of concentrating cells </t>
    </r>
    <r>
      <rPr>
        <i/>
        <sz val="10"/>
        <color indexed="8"/>
        <rFont val="ＭＳ Ｐゴシック"/>
        <family val="3"/>
      </rPr>
      <t>C"</t>
    </r>
    <r>
      <rPr>
        <i/>
        <vertAlign val="subscript"/>
        <sz val="10"/>
        <color indexed="8"/>
        <rFont val="ＭＳ Ｐゴシック"/>
        <family val="3"/>
      </rPr>
      <t>in</t>
    </r>
    <r>
      <rPr>
        <sz val="10"/>
        <color indexed="8"/>
        <rFont val="ＭＳ Ｐゴシック"/>
        <family val="3"/>
      </rPr>
      <t xml:space="preserve"> = Salt concentration of a raw solution </t>
    </r>
    <r>
      <rPr>
        <i/>
        <sz val="10"/>
        <color indexed="8"/>
        <rFont val="ＭＳ Ｐゴシック"/>
        <family val="3"/>
      </rPr>
      <t>C</t>
    </r>
    <r>
      <rPr>
        <i/>
        <vertAlign val="superscript"/>
        <sz val="10"/>
        <color indexed="8"/>
        <rFont val="ＭＳ Ｐゴシック"/>
        <family val="3"/>
      </rPr>
      <t>0</t>
    </r>
    <r>
      <rPr>
        <sz val="10"/>
        <color indexed="8"/>
        <rFont val="ＭＳ Ｐゴシック"/>
        <family val="3"/>
      </rPr>
      <t xml:space="preserve">  </t>
    </r>
    <r>
      <rPr>
        <i/>
        <vertAlign val="superscript"/>
        <sz val="10"/>
        <color indexed="8"/>
        <rFont val="ＭＳ Ｐゴシック"/>
        <family val="3"/>
      </rPr>
      <t xml:space="preserve"> </t>
    </r>
  </si>
  <si>
    <r>
      <t>Q</t>
    </r>
    <r>
      <rPr>
        <i/>
        <vertAlign val="subscript"/>
        <sz val="12"/>
        <rFont val="ＭＳ Ｐゴシック"/>
        <family val="3"/>
      </rPr>
      <t>move</t>
    </r>
  </si>
  <si>
    <r>
      <t>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/h</t>
    </r>
  </si>
  <si>
    <t>Q'''</t>
  </si>
  <si>
    <r>
      <t>mg/dm</t>
    </r>
    <r>
      <rPr>
        <vertAlign val="superscript"/>
        <sz val="10"/>
        <color indexed="8"/>
        <rFont val="ＭＳ Ｐゴシック"/>
        <family val="3"/>
      </rPr>
      <t>3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</si>
  <si>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</si>
  <si>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out</t>
    </r>
  </si>
  <si>
    <t>Constant voltage feed-and-bleed program</t>
  </si>
  <si>
    <t xml:space="preserve">Control key 5  Input </t>
  </si>
  <si>
    <r>
      <t xml:space="preserve">Control key 5 Adjust </t>
    </r>
    <r>
      <rPr>
        <i/>
        <sz val="10"/>
        <color indexed="10"/>
        <rFont val="ＭＳ Ｐゴシック"/>
        <family val="3"/>
      </rPr>
      <t>N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to realize </t>
    </r>
    <r>
      <rPr>
        <i/>
        <sz val="10"/>
        <color indexed="10"/>
        <rFont val="ＭＳ Ｐゴシック"/>
        <family val="3"/>
      </rPr>
      <t>Q'''</t>
    </r>
    <r>
      <rPr>
        <sz val="10"/>
        <color indexed="10"/>
        <rFont val="ＭＳ Ｐゴシック"/>
        <family val="3"/>
      </rPr>
      <t>=</t>
    </r>
    <r>
      <rPr>
        <i/>
        <sz val="10"/>
        <color indexed="10"/>
        <rFont val="ＭＳ Ｐゴシック"/>
        <family val="3"/>
      </rPr>
      <t>Q'''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Decision point 5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</si>
</sst>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0E+00"/>
    <numFmt numFmtId="178" formatCode="0.000_ "/>
    <numFmt numFmtId="179" formatCode="0.0000_ "/>
    <numFmt numFmtId="180" formatCode="0.0000_);[Red]\(0.0000\)"/>
    <numFmt numFmtId="181" formatCode="0.000000_ "/>
    <numFmt numFmtId="182" formatCode="0.00000_ "/>
    <numFmt numFmtId="183" formatCode="0.0000E+00"/>
    <numFmt numFmtId="184" formatCode="0.00_ "/>
    <numFmt numFmtId="185" formatCode="0.0000000_ "/>
    <numFmt numFmtId="186" formatCode="0.0_ "/>
    <numFmt numFmtId="187" formatCode="0.000_);[Red]\(0.000\)"/>
    <numFmt numFmtId="188" formatCode="0.0_);[Red]\(0.0\)"/>
    <numFmt numFmtId="189" formatCode="0_ "/>
    <numFmt numFmtId="190" formatCode="&quot;\&quot;#,##0.0000;&quot;\&quot;\-#,##0.0000"/>
    <numFmt numFmtId="191" formatCode="#,##0.0000_ "/>
    <numFmt numFmtId="192" formatCode="0.00_);[Red]\(0.00\)"/>
    <numFmt numFmtId="193" formatCode="0.0000000000000_ "/>
    <numFmt numFmtId="194" formatCode="0_);[Red]\(0\)"/>
    <numFmt numFmtId="195" formatCode="0.00000_);[Red]\(0.00000\)"/>
    <numFmt numFmtId="196" formatCode="0.000000_);[Red]\(0.0000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i/>
      <sz val="10"/>
      <color indexed="12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ゴシック"/>
      <family val="3"/>
    </font>
    <font>
      <b/>
      <vertAlign val="subscript"/>
      <sz val="12"/>
      <name val="ＭＳ Ｐゴシック"/>
      <family val="3"/>
    </font>
    <font>
      <b/>
      <i/>
      <vertAlign val="subscript"/>
      <sz val="12"/>
      <name val="ＭＳ Ｐゴシック"/>
      <family val="3"/>
    </font>
    <font>
      <i/>
      <sz val="12"/>
      <name val="ＭＳ Ｐゴシック"/>
      <family val="3"/>
    </font>
    <font>
      <i/>
      <vertAlign val="subscript"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vertAlign val="superscript"/>
      <sz val="12"/>
      <name val="ＭＳ Ｐゴシック"/>
      <family val="3"/>
    </font>
    <font>
      <i/>
      <vertAlign val="subscript"/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i/>
      <vertAlign val="superscript"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i/>
      <vertAlign val="superscript"/>
      <sz val="12"/>
      <color indexed="8"/>
      <name val="ＭＳ Ｐゴシック"/>
      <family val="3"/>
    </font>
    <font>
      <i/>
      <sz val="10"/>
      <color indexed="12"/>
      <name val="ＭＳ Ｐゴシック"/>
      <family val="3"/>
    </font>
    <font>
      <i/>
      <vertAlign val="subscript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i/>
      <vertAlign val="superscript"/>
      <sz val="10"/>
      <color indexed="12"/>
      <name val="ＭＳ Ｐゴシック"/>
      <family val="3"/>
    </font>
    <font>
      <vertAlign val="superscript"/>
      <sz val="10"/>
      <color indexed="12"/>
      <name val="ＭＳ Ｐゴシック"/>
      <family val="3"/>
    </font>
    <font>
      <i/>
      <sz val="10"/>
      <color indexed="8"/>
      <name val="ＭＳ Ｐゴシック"/>
      <family val="3"/>
    </font>
    <font>
      <i/>
      <sz val="10"/>
      <name val="ＭＳ Ｐゴシック"/>
      <family val="3"/>
    </font>
    <font>
      <i/>
      <vertAlign val="subscript"/>
      <sz val="10"/>
      <name val="ＭＳ Ｐゴシック"/>
      <family val="3"/>
    </font>
    <font>
      <i/>
      <vertAlign val="subscript"/>
      <sz val="10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vertAlign val="superscript"/>
      <sz val="10"/>
      <color indexed="10"/>
      <name val="ＭＳ Ｐゴシック"/>
      <family val="3"/>
    </font>
    <font>
      <i/>
      <vertAlign val="subscript"/>
      <sz val="10"/>
      <color indexed="10"/>
      <name val="ＭＳ Ｐゴシック"/>
      <family val="3"/>
    </font>
    <font>
      <i/>
      <vertAlign val="superscript"/>
      <sz val="10"/>
      <color indexed="10"/>
      <name val="ＭＳ Ｐゴシック"/>
      <family val="3"/>
    </font>
    <font>
      <i/>
      <sz val="10"/>
      <color indexed="20"/>
      <name val="ＭＳ Ｐゴシック"/>
      <family val="3"/>
    </font>
    <font>
      <sz val="10"/>
      <color indexed="20"/>
      <name val="ＭＳ Ｐゴシック"/>
      <family val="3"/>
    </font>
    <font>
      <vertAlign val="superscript"/>
      <sz val="10"/>
      <color indexed="20"/>
      <name val="ＭＳ Ｐゴシック"/>
      <family val="3"/>
    </font>
    <font>
      <vertAlign val="superscript"/>
      <sz val="10"/>
      <name val="ＭＳ Ｐゴシック"/>
      <family val="3"/>
    </font>
    <font>
      <sz val="12"/>
      <color indexed="12"/>
      <name val="ＭＳ Ｐゴシック"/>
      <family val="3"/>
    </font>
    <font>
      <vertAlign val="subscript"/>
      <sz val="10"/>
      <color indexed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i/>
      <vertAlign val="subscript"/>
      <sz val="10"/>
      <color indexed="20"/>
      <name val="ＭＳ Ｐゴシック"/>
      <family val="3"/>
    </font>
    <font>
      <i/>
      <vertAlign val="superscript"/>
      <sz val="10"/>
      <color indexed="20"/>
      <name val="ＭＳ Ｐゴシック"/>
      <family val="3"/>
    </font>
    <font>
      <vertAlign val="subscript"/>
      <sz val="10"/>
      <name val="ＭＳ Ｐゴシック"/>
      <family val="3"/>
    </font>
    <font>
      <i/>
      <vertAlign val="superscript"/>
      <sz val="10"/>
      <name val="ＭＳ Ｐゴシック"/>
      <family val="3"/>
    </font>
    <font>
      <vertAlign val="subscript"/>
      <sz val="10"/>
      <color indexed="8"/>
      <name val="ＭＳ Ｐゴシック"/>
      <family val="3"/>
    </font>
    <font>
      <vertAlign val="subscript"/>
      <sz val="10"/>
      <color indexed="12"/>
      <name val="ＭＳ Ｐゴシック"/>
      <family val="3"/>
    </font>
    <font>
      <i/>
      <vertAlign val="superscript"/>
      <sz val="10"/>
      <color indexed="8"/>
      <name val="ＭＳ Ｐゴシック"/>
      <family val="3"/>
    </font>
    <font>
      <i/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vertAlign val="superscript"/>
      <sz val="12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9" fontId="11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86" fontId="12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6" fontId="11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4" fontId="12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8" fontId="20" fillId="0" borderId="0" xfId="0" applyNumberFormat="1" applyFont="1" applyAlignment="1">
      <alignment/>
    </xf>
    <xf numFmtId="184" fontId="2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92" fontId="1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8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89" fontId="24" fillId="0" borderId="0" xfId="0" applyNumberFormat="1" applyFont="1" applyAlignment="1">
      <alignment/>
    </xf>
    <xf numFmtId="0" fontId="22" fillId="0" borderId="0" xfId="0" applyFont="1" applyAlignment="1">
      <alignment/>
    </xf>
    <xf numFmtId="178" fontId="24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8" fontId="19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9" fontId="32" fillId="0" borderId="0" xfId="0" applyNumberFormat="1" applyFont="1" applyAlignment="1">
      <alignment/>
    </xf>
    <xf numFmtId="189" fontId="19" fillId="0" borderId="0" xfId="0" applyNumberFormat="1" applyFont="1" applyAlignment="1">
      <alignment/>
    </xf>
    <xf numFmtId="189" fontId="20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84" fontId="24" fillId="0" borderId="0" xfId="0" applyNumberFormat="1" applyFont="1" applyAlignment="1">
      <alignment/>
    </xf>
    <xf numFmtId="179" fontId="37" fillId="0" borderId="0" xfId="0" applyNumberFormat="1" applyFont="1" applyAlignment="1">
      <alignment/>
    </xf>
    <xf numFmtId="179" fontId="19" fillId="0" borderId="0" xfId="0" applyNumberFormat="1" applyFont="1" applyAlignment="1">
      <alignment/>
    </xf>
    <xf numFmtId="182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 quotePrefix="1">
      <alignment/>
    </xf>
    <xf numFmtId="0" fontId="40" fillId="0" borderId="0" xfId="0" applyFont="1" applyAlignment="1">
      <alignment/>
    </xf>
    <xf numFmtId="183" fontId="32" fillId="0" borderId="0" xfId="0" applyNumberFormat="1" applyFont="1" applyAlignment="1">
      <alignment/>
    </xf>
    <xf numFmtId="186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177" fontId="32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0" fontId="20" fillId="0" borderId="0" xfId="0" applyFont="1" applyAlignment="1" quotePrefix="1">
      <alignment/>
    </xf>
    <xf numFmtId="177" fontId="24" fillId="0" borderId="0" xfId="0" applyNumberFormat="1" applyFont="1" applyAlignment="1">
      <alignment/>
    </xf>
    <xf numFmtId="189" fontId="3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32" fillId="0" borderId="0" xfId="0" applyFont="1" applyAlignment="1" quotePrefix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96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80" fontId="20" fillId="0" borderId="0" xfId="0" applyNumberFormat="1" applyFont="1" applyAlignment="1">
      <alignment/>
    </xf>
    <xf numFmtId="0" fontId="20" fillId="0" borderId="0" xfId="0" applyFont="1" applyAlignment="1" quotePrefix="1">
      <alignment horizontal="left"/>
    </xf>
    <xf numFmtId="0" fontId="45" fillId="0" borderId="0" xfId="0" applyFont="1" applyAlignment="1">
      <alignment horizontal="right"/>
    </xf>
    <xf numFmtId="0" fontId="19" fillId="0" borderId="0" xfId="0" applyFont="1" applyAlignment="1" quotePrefix="1">
      <alignment horizontal="right"/>
    </xf>
    <xf numFmtId="181" fontId="32" fillId="0" borderId="0" xfId="0" applyNumberFormat="1" applyFont="1" applyAlignment="1">
      <alignment/>
    </xf>
    <xf numFmtId="182" fontId="32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194" fontId="27" fillId="0" borderId="0" xfId="0" applyNumberFormat="1" applyFont="1" applyAlignment="1">
      <alignment/>
    </xf>
    <xf numFmtId="194" fontId="20" fillId="0" borderId="0" xfId="0" applyNumberFormat="1" applyFont="1" applyAlignment="1">
      <alignment/>
    </xf>
    <xf numFmtId="194" fontId="24" fillId="0" borderId="0" xfId="0" applyNumberFormat="1" applyFont="1" applyAlignment="1">
      <alignment/>
    </xf>
    <xf numFmtId="192" fontId="19" fillId="0" borderId="0" xfId="0" applyNumberFormat="1" applyFont="1" applyAlignment="1">
      <alignment/>
    </xf>
    <xf numFmtId="192" fontId="20" fillId="0" borderId="0" xfId="0" applyNumberFormat="1" applyFont="1" applyAlignment="1">
      <alignment/>
    </xf>
    <xf numFmtId="192" fontId="24" fillId="0" borderId="0" xfId="0" applyNumberFormat="1" applyFont="1" applyAlignment="1">
      <alignment/>
    </xf>
    <xf numFmtId="179" fontId="28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182" fontId="24" fillId="0" borderId="0" xfId="0" applyNumberFormat="1" applyFont="1" applyAlignment="1">
      <alignment/>
    </xf>
    <xf numFmtId="183" fontId="27" fillId="0" borderId="0" xfId="0" applyNumberFormat="1" applyFont="1" applyAlignment="1">
      <alignment/>
    </xf>
    <xf numFmtId="183" fontId="20" fillId="0" borderId="0" xfId="0" applyNumberFormat="1" applyFont="1" applyAlignment="1">
      <alignment/>
    </xf>
    <xf numFmtId="195" fontId="27" fillId="0" borderId="0" xfId="0" applyNumberFormat="1" applyFont="1" applyAlignment="1">
      <alignment/>
    </xf>
    <xf numFmtId="195" fontId="20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87" fontId="20" fillId="0" borderId="0" xfId="0" applyNumberFormat="1" applyFont="1" applyAlignment="1">
      <alignment/>
    </xf>
    <xf numFmtId="192" fontId="27" fillId="0" borderId="0" xfId="0" applyNumberFormat="1" applyFont="1" applyAlignment="1">
      <alignment/>
    </xf>
    <xf numFmtId="180" fontId="27" fillId="0" borderId="0" xfId="0" applyNumberFormat="1" applyFont="1" applyAlignment="1">
      <alignment/>
    </xf>
    <xf numFmtId="192" fontId="31" fillId="0" borderId="0" xfId="0" applyNumberFormat="1" applyFont="1" applyAlignment="1">
      <alignment/>
    </xf>
    <xf numFmtId="192" fontId="32" fillId="0" borderId="0" xfId="0" applyNumberFormat="1" applyFont="1" applyAlignment="1">
      <alignment/>
    </xf>
    <xf numFmtId="0" fontId="50" fillId="0" borderId="0" xfId="0" applyFont="1" applyAlignment="1">
      <alignment/>
    </xf>
    <xf numFmtId="189" fontId="40" fillId="0" borderId="0" xfId="0" applyNumberFormat="1" applyFont="1" applyAlignment="1">
      <alignment/>
    </xf>
    <xf numFmtId="191" fontId="19" fillId="0" borderId="0" xfId="0" applyNumberFormat="1" applyFont="1" applyAlignment="1">
      <alignment/>
    </xf>
    <xf numFmtId="0" fontId="51" fillId="0" borderId="0" xfId="0" applyFont="1" applyAlignment="1">
      <alignment/>
    </xf>
    <xf numFmtId="184" fontId="37" fillId="0" borderId="0" xfId="0" applyNumberFormat="1" applyFont="1" applyAlignment="1">
      <alignment/>
    </xf>
    <xf numFmtId="179" fontId="37" fillId="0" borderId="0" xfId="0" applyNumberFormat="1" applyFont="1" applyAlignment="1">
      <alignment horizontal="right"/>
    </xf>
    <xf numFmtId="0" fontId="37" fillId="0" borderId="0" xfId="0" applyFont="1" applyAlignment="1" quotePrefix="1">
      <alignment/>
    </xf>
    <xf numFmtId="181" fontId="24" fillId="0" borderId="0" xfId="0" applyNumberFormat="1" applyFont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 horizontal="left"/>
    </xf>
    <xf numFmtId="182" fontId="37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89" fontId="20" fillId="0" borderId="0" xfId="0" applyNumberFormat="1" applyFont="1" applyAlignment="1" quotePrefix="1">
      <alignment/>
    </xf>
    <xf numFmtId="195" fontId="11" fillId="0" borderId="0" xfId="0" applyNumberFormat="1" applyFont="1" applyAlignment="1">
      <alignment/>
    </xf>
    <xf numFmtId="186" fontId="37" fillId="0" borderId="0" xfId="0" applyNumberFormat="1" applyFont="1" applyAlignment="1">
      <alignment/>
    </xf>
    <xf numFmtId="178" fontId="37" fillId="0" borderId="0" xfId="0" applyNumberFormat="1" applyFont="1" applyAlignment="1">
      <alignment/>
    </xf>
    <xf numFmtId="183" fontId="24" fillId="0" borderId="0" xfId="0" applyNumberFormat="1" applyFont="1" applyAlignment="1">
      <alignment/>
    </xf>
    <xf numFmtId="0" fontId="28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view="pageBreakPreview" zoomScaleSheetLayoutView="100" workbookViewId="0" topLeftCell="A211">
      <selection activeCell="D224" sqref="D224"/>
    </sheetView>
  </sheetViews>
  <sheetFormatPr defaultColWidth="9.00390625" defaultRowHeight="13.5"/>
  <cols>
    <col min="1" max="1" width="4.625" style="25" customWidth="1"/>
    <col min="2" max="10" width="15.625" style="25" customWidth="1"/>
    <col min="11" max="13" width="10.625" style="25" customWidth="1"/>
    <col min="14" max="16384" width="9.00390625" style="25" customWidth="1"/>
  </cols>
  <sheetData>
    <row r="1" spans="2:9" ht="14.25">
      <c r="B1" s="5" t="s">
        <v>261</v>
      </c>
      <c r="C1" s="1"/>
      <c r="D1" s="1"/>
      <c r="E1" s="1"/>
      <c r="F1" s="5"/>
      <c r="G1" s="1"/>
      <c r="I1" s="14"/>
    </row>
    <row r="2" spans="2:13" ht="15">
      <c r="B2" s="5" t="s">
        <v>384</v>
      </c>
      <c r="C2" s="1"/>
      <c r="D2" s="1"/>
      <c r="E2" s="1"/>
      <c r="F2" s="1"/>
      <c r="G2" s="1"/>
      <c r="H2" s="33" t="s">
        <v>3</v>
      </c>
      <c r="I2" s="91">
        <f>$C$11</f>
        <v>0.4</v>
      </c>
      <c r="J2" s="35" t="s">
        <v>4</v>
      </c>
      <c r="K2" s="33" t="s">
        <v>5</v>
      </c>
      <c r="L2" s="36">
        <f>$C$37</f>
        <v>1000</v>
      </c>
      <c r="M2" s="35" t="s">
        <v>6</v>
      </c>
    </row>
    <row r="3" spans="2:13" ht="14.25" customHeight="1">
      <c r="B3" s="1"/>
      <c r="C3" s="1"/>
      <c r="D3" s="1"/>
      <c r="E3" s="1"/>
      <c r="F3" s="1"/>
      <c r="G3" s="1"/>
      <c r="H3" s="33" t="s">
        <v>7</v>
      </c>
      <c r="I3" s="34">
        <f>$J$9</f>
        <v>25</v>
      </c>
      <c r="J3" s="35" t="s">
        <v>8</v>
      </c>
      <c r="K3" s="33" t="s">
        <v>9</v>
      </c>
      <c r="L3" s="36">
        <f>$F$196</f>
        <v>1000</v>
      </c>
      <c r="M3" s="35" t="s">
        <v>6</v>
      </c>
    </row>
    <row r="4" spans="2:13" ht="14.25" customHeight="1">
      <c r="B4" s="5" t="s">
        <v>243</v>
      </c>
      <c r="C4" s="1"/>
      <c r="D4" s="1"/>
      <c r="E4" s="3"/>
      <c r="F4" s="4"/>
      <c r="G4" s="2"/>
      <c r="K4" s="33" t="s">
        <v>10</v>
      </c>
      <c r="L4" s="36">
        <f>$C$31</f>
        <v>400</v>
      </c>
      <c r="M4" s="35" t="s">
        <v>6</v>
      </c>
    </row>
    <row r="5" spans="2:7" s="14" customFormat="1" ht="14.25">
      <c r="B5" s="5" t="s">
        <v>1</v>
      </c>
      <c r="C5" s="5"/>
      <c r="D5" s="5"/>
      <c r="E5" s="5"/>
      <c r="F5" s="5"/>
      <c r="G5" s="5"/>
    </row>
    <row r="6" spans="2:6" ht="12">
      <c r="B6" s="48" t="s">
        <v>262</v>
      </c>
      <c r="C6" s="49">
        <v>0.1</v>
      </c>
      <c r="D6" s="49" t="s">
        <v>263</v>
      </c>
      <c r="E6" s="49" t="s">
        <v>369</v>
      </c>
      <c r="F6" s="49"/>
    </row>
    <row r="7" spans="2:11" ht="13.5">
      <c r="B7" s="48" t="s">
        <v>264</v>
      </c>
      <c r="C7" s="118">
        <v>10</v>
      </c>
      <c r="D7" s="49" t="s">
        <v>265</v>
      </c>
      <c r="E7" s="49" t="s">
        <v>368</v>
      </c>
      <c r="F7" s="49"/>
      <c r="I7" s="40" t="s">
        <v>13</v>
      </c>
      <c r="J7" s="41">
        <v>8.314</v>
      </c>
      <c r="K7" s="25" t="s">
        <v>14</v>
      </c>
    </row>
    <row r="8" spans="2:11" ht="13.5">
      <c r="B8" s="48" t="s">
        <v>266</v>
      </c>
      <c r="C8" s="118">
        <v>1</v>
      </c>
      <c r="D8" s="49" t="s">
        <v>265</v>
      </c>
      <c r="E8" s="49" t="s">
        <v>368</v>
      </c>
      <c r="F8" s="49"/>
      <c r="I8" s="40" t="s">
        <v>7</v>
      </c>
      <c r="J8" s="42">
        <f>273.16+$J$9</f>
        <v>298.16</v>
      </c>
      <c r="K8" s="25" t="s">
        <v>15</v>
      </c>
    </row>
    <row r="9" spans="2:12" ht="14.25">
      <c r="B9" s="43" t="s">
        <v>269</v>
      </c>
      <c r="C9" s="44">
        <v>0.0025095</v>
      </c>
      <c r="D9" s="44" t="s">
        <v>17</v>
      </c>
      <c r="E9" s="44" t="s">
        <v>270</v>
      </c>
      <c r="F9" s="44"/>
      <c r="I9" s="48" t="s">
        <v>298</v>
      </c>
      <c r="J9" s="118">
        <v>25</v>
      </c>
      <c r="K9" s="49" t="s">
        <v>299</v>
      </c>
      <c r="L9" s="49" t="s">
        <v>300</v>
      </c>
    </row>
    <row r="10" spans="2:11" ht="15">
      <c r="B10" s="43" t="s">
        <v>18</v>
      </c>
      <c r="C10" s="45">
        <f>$I$126</f>
        <v>0.3999534852978892</v>
      </c>
      <c r="D10" s="44" t="s">
        <v>4</v>
      </c>
      <c r="E10" s="44" t="s">
        <v>271</v>
      </c>
      <c r="F10" s="44"/>
      <c r="I10" s="40" t="s">
        <v>19</v>
      </c>
      <c r="J10" s="46">
        <v>96485</v>
      </c>
      <c r="K10" s="25" t="s">
        <v>20</v>
      </c>
    </row>
    <row r="11" spans="2:11" ht="15">
      <c r="B11" s="43" t="s">
        <v>21</v>
      </c>
      <c r="C11" s="45">
        <v>0.4</v>
      </c>
      <c r="D11" s="44" t="s">
        <v>4</v>
      </c>
      <c r="E11" s="44" t="s">
        <v>370</v>
      </c>
      <c r="I11" s="40" t="s">
        <v>22</v>
      </c>
      <c r="J11" s="25">
        <f>$J$7*$J$8/$J$10</f>
        <v>0.0256920997046173</v>
      </c>
      <c r="K11" s="25" t="s">
        <v>23</v>
      </c>
    </row>
    <row r="12" spans="2:11" ht="14.25">
      <c r="B12" s="39" t="s">
        <v>24</v>
      </c>
      <c r="C12" s="47">
        <f>$C$14</f>
        <v>300</v>
      </c>
      <c r="D12" s="25" t="s">
        <v>25</v>
      </c>
      <c r="E12" s="26" t="s">
        <v>26</v>
      </c>
      <c r="I12" s="37" t="s">
        <v>287</v>
      </c>
      <c r="J12" s="66">
        <f>3.421*10^-3+3.333*10^-4*$J$9</f>
        <v>0.011753500000000002</v>
      </c>
      <c r="K12" s="35" t="s">
        <v>288</v>
      </c>
    </row>
    <row r="13" spans="2:11" ht="12">
      <c r="B13" s="40" t="s">
        <v>27</v>
      </c>
      <c r="C13" s="46">
        <f>$C$14+1</f>
        <v>301</v>
      </c>
      <c r="D13" s="25" t="s">
        <v>25</v>
      </c>
      <c r="E13" s="25" t="s">
        <v>28</v>
      </c>
      <c r="I13" s="37" t="s">
        <v>289</v>
      </c>
      <c r="J13" s="66">
        <f>9.208*10^-6+1.914*10^-5*$J$12</f>
        <v>9.43296199E-06</v>
      </c>
      <c r="K13" s="35" t="s">
        <v>290</v>
      </c>
    </row>
    <row r="14" spans="2:11" ht="12">
      <c r="B14" s="48" t="s">
        <v>272</v>
      </c>
      <c r="C14" s="67">
        <v>300</v>
      </c>
      <c r="D14" s="49" t="s">
        <v>284</v>
      </c>
      <c r="E14" s="49" t="s">
        <v>276</v>
      </c>
      <c r="F14" s="35"/>
      <c r="I14" s="37" t="s">
        <v>291</v>
      </c>
      <c r="J14" s="66">
        <f>2.005*10^-4*$J$12</f>
        <v>2.35657675E-06</v>
      </c>
      <c r="K14" s="35" t="s">
        <v>265</v>
      </c>
    </row>
    <row r="15" spans="2:11" ht="14.25">
      <c r="B15" s="48" t="s">
        <v>273</v>
      </c>
      <c r="C15" s="119">
        <v>0.05</v>
      </c>
      <c r="D15" s="49" t="s">
        <v>281</v>
      </c>
      <c r="E15" s="49" t="s">
        <v>277</v>
      </c>
      <c r="F15" s="35"/>
      <c r="I15" s="37" t="s">
        <v>292</v>
      </c>
      <c r="J15" s="66">
        <f>3.768*10^-3*$J$12^0.2-1.019*10^-2*$J$12</f>
        <v>0.0014295632839597893</v>
      </c>
      <c r="K15" s="35" t="s">
        <v>293</v>
      </c>
    </row>
    <row r="16" spans="2:11" ht="13.5">
      <c r="B16" s="48" t="s">
        <v>274</v>
      </c>
      <c r="C16" s="67">
        <v>100</v>
      </c>
      <c r="D16" s="49" t="s">
        <v>281</v>
      </c>
      <c r="E16" s="49" t="s">
        <v>278</v>
      </c>
      <c r="F16" s="35"/>
      <c r="I16" s="37" t="s">
        <v>294</v>
      </c>
      <c r="J16" s="91">
        <f>$J$13*$J$10+1</f>
        <v>1.91013933760515</v>
      </c>
      <c r="K16" s="35" t="s">
        <v>263</v>
      </c>
    </row>
    <row r="17" spans="2:11" ht="12">
      <c r="B17" s="48" t="s">
        <v>275</v>
      </c>
      <c r="C17" s="67">
        <v>100</v>
      </c>
      <c r="D17" s="49" t="s">
        <v>281</v>
      </c>
      <c r="E17" s="49" t="s">
        <v>279</v>
      </c>
      <c r="F17" s="35"/>
      <c r="I17" s="35" t="s">
        <v>295</v>
      </c>
      <c r="J17" s="35"/>
      <c r="K17" s="35"/>
    </row>
    <row r="18" spans="2:11" ht="15">
      <c r="B18" s="40" t="s">
        <v>32</v>
      </c>
      <c r="C18" s="46">
        <f>$C$17*$C$16</f>
        <v>10000</v>
      </c>
      <c r="D18" s="25" t="s">
        <v>33</v>
      </c>
      <c r="E18" s="25" t="s">
        <v>34</v>
      </c>
      <c r="I18" s="37" t="s">
        <v>296</v>
      </c>
      <c r="J18" s="91">
        <f>1.2323*$J$12^-(1/3)</f>
        <v>5.419934580882536</v>
      </c>
      <c r="K18" s="35" t="s">
        <v>297</v>
      </c>
    </row>
    <row r="19" spans="2:11" ht="12">
      <c r="B19" s="40" t="s">
        <v>35</v>
      </c>
      <c r="C19" s="41">
        <f>$C$9*$C$18</f>
        <v>25.095</v>
      </c>
      <c r="D19" s="25" t="s">
        <v>36</v>
      </c>
      <c r="E19" s="25" t="s">
        <v>37</v>
      </c>
      <c r="K19" s="52"/>
    </row>
    <row r="20" spans="2:7" ht="12">
      <c r="B20" s="48" t="s">
        <v>280</v>
      </c>
      <c r="C20" s="108">
        <v>0.3</v>
      </c>
      <c r="D20" s="49" t="s">
        <v>281</v>
      </c>
      <c r="E20" s="49" t="s">
        <v>285</v>
      </c>
      <c r="F20" s="35"/>
      <c r="G20" s="35"/>
    </row>
    <row r="21" spans="2:7" ht="12">
      <c r="B21" s="48" t="s">
        <v>282</v>
      </c>
      <c r="C21" s="109">
        <f>3.14159/3</f>
        <v>1.0471966666666666</v>
      </c>
      <c r="D21" s="110" t="s">
        <v>283</v>
      </c>
      <c r="E21" s="49" t="s">
        <v>286</v>
      </c>
      <c r="F21" s="35"/>
      <c r="G21" s="35"/>
    </row>
    <row r="22" spans="2:7" ht="12">
      <c r="B22" s="40" t="s">
        <v>38</v>
      </c>
      <c r="C22" s="53">
        <f>(3.14159*$C$15)/(8*$C$20*SIN($C$21))</f>
        <v>0.07557494826922562</v>
      </c>
      <c r="D22" s="25" t="s">
        <v>11</v>
      </c>
      <c r="E22" s="25" t="s">
        <v>39</v>
      </c>
      <c r="G22" s="53"/>
    </row>
    <row r="24" s="14" customFormat="1" ht="14.25">
      <c r="B24" s="5" t="s">
        <v>244</v>
      </c>
    </row>
    <row r="25" s="14" customFormat="1" ht="14.25">
      <c r="B25" s="5" t="s">
        <v>245</v>
      </c>
    </row>
    <row r="26" spans="2:6" s="14" customFormat="1" ht="16.5">
      <c r="B26" s="48" t="s">
        <v>267</v>
      </c>
      <c r="C26" s="118">
        <v>1000</v>
      </c>
      <c r="D26" s="107" t="s">
        <v>268</v>
      </c>
      <c r="E26" s="49" t="s">
        <v>301</v>
      </c>
      <c r="F26" s="107"/>
    </row>
    <row r="27" spans="2:8" s="14" customFormat="1" ht="15">
      <c r="B27" s="43" t="s">
        <v>40</v>
      </c>
      <c r="C27" s="57">
        <v>1.16329E-05</v>
      </c>
      <c r="D27" s="44" t="s">
        <v>41</v>
      </c>
      <c r="E27" s="44" t="s">
        <v>362</v>
      </c>
      <c r="F27" s="44"/>
      <c r="G27" s="44"/>
      <c r="H27" s="44"/>
    </row>
    <row r="28" spans="2:6" s="14" customFormat="1" ht="14.25">
      <c r="B28" s="43"/>
      <c r="C28" s="58">
        <f>$C$27*57.87*1000000</f>
        <v>673.195923</v>
      </c>
      <c r="D28" s="26" t="s">
        <v>42</v>
      </c>
      <c r="E28" s="26" t="s">
        <v>43</v>
      </c>
      <c r="F28" s="26"/>
    </row>
    <row r="29" spans="2:13" ht="15">
      <c r="B29" s="43" t="s">
        <v>44</v>
      </c>
      <c r="C29" s="59">
        <f>$C$27-(($C$43*$C$17)/($C$15*$J$10))*$C$9/$C$47</f>
        <v>6.9119696982348814E-06</v>
      </c>
      <c r="D29" s="26" t="s">
        <v>45</v>
      </c>
      <c r="E29" s="60">
        <f>$C$29*10^3</f>
        <v>0.006911969698234882</v>
      </c>
      <c r="F29" s="25" t="s">
        <v>46</v>
      </c>
      <c r="G29" s="52">
        <f>57.87*$E$29</f>
        <v>0.39999568643685257</v>
      </c>
      <c r="H29" s="25" t="s">
        <v>47</v>
      </c>
      <c r="I29" s="52">
        <f>(($L$35^2+4*$L$34*$G$29)^0.5-$L$35)/(2*$L$34)</f>
        <v>0.4014187632933523</v>
      </c>
      <c r="J29" s="25" t="s">
        <v>48</v>
      </c>
      <c r="K29" s="25" t="s">
        <v>36</v>
      </c>
      <c r="L29" s="61">
        <f>$J$15*$C$9+$J$14-$J$12*$C$32</f>
        <v>5.839854221207866E-06</v>
      </c>
      <c r="M29" s="25" t="s">
        <v>12</v>
      </c>
    </row>
    <row r="30" spans="2:13" ht="14.25">
      <c r="B30" s="43"/>
      <c r="C30" s="62">
        <f>$G$29*1000</f>
        <v>399.99568643685257</v>
      </c>
      <c r="D30" s="44" t="s">
        <v>49</v>
      </c>
      <c r="E30" s="44" t="s">
        <v>303</v>
      </c>
      <c r="K30" s="26" t="s">
        <v>50</v>
      </c>
      <c r="L30" s="59">
        <f>$J$13*$C$9+$J$14*$C$32</f>
        <v>2.3692912537677792E-08</v>
      </c>
      <c r="M30" s="59" t="s">
        <v>51</v>
      </c>
    </row>
    <row r="31" spans="2:13" ht="15">
      <c r="B31" s="43" t="s">
        <v>52</v>
      </c>
      <c r="C31" s="62">
        <v>400</v>
      </c>
      <c r="D31" s="44" t="s">
        <v>49</v>
      </c>
      <c r="E31" s="44" t="s">
        <v>302</v>
      </c>
      <c r="K31" s="26" t="s">
        <v>53</v>
      </c>
      <c r="L31" s="27">
        <f>($C$17/$C$15)*$J$12*$B$188</f>
        <v>12.245489756500003</v>
      </c>
      <c r="M31" s="26" t="s">
        <v>54</v>
      </c>
    </row>
    <row r="32" spans="2:13" ht="15">
      <c r="B32" s="43" t="s">
        <v>55</v>
      </c>
      <c r="C32" s="63">
        <f>$C$154</f>
        <v>8.866430415554963E-06</v>
      </c>
      <c r="D32" s="44" t="s">
        <v>41</v>
      </c>
      <c r="K32" s="26" t="s">
        <v>56</v>
      </c>
      <c r="L32" s="64">
        <f>($C$17/$C$15)*($J$15*$C$9-$J$12*($C$33-(1-$B$188)*$C$36))+$C$8</f>
        <v>1.0071611652026429</v>
      </c>
      <c r="M32" s="26" t="s">
        <v>12</v>
      </c>
    </row>
    <row r="33" spans="2:13" ht="15">
      <c r="B33" s="43" t="s">
        <v>57</v>
      </c>
      <c r="C33" s="63">
        <v>8.866E-06</v>
      </c>
      <c r="D33" s="44" t="s">
        <v>41</v>
      </c>
      <c r="E33" s="44" t="s">
        <v>58</v>
      </c>
      <c r="H33" s="65"/>
      <c r="K33" s="26" t="s">
        <v>59</v>
      </c>
      <c r="L33" s="59">
        <f>$C$36*$C$8+($C$17/$C$15)*($J$13*$C$9-$J$14*($C$35-$C$33))</f>
        <v>6.44698664538488E-05</v>
      </c>
      <c r="M33" s="26" t="s">
        <v>51</v>
      </c>
    </row>
    <row r="34" spans="2:12" ht="15">
      <c r="B34" s="43" t="s">
        <v>60</v>
      </c>
      <c r="C34" s="63">
        <f>$C$36+$B$188*($C$38-$C$36)</f>
        <v>4.159794241311584E-05</v>
      </c>
      <c r="D34" s="44" t="s">
        <v>41</v>
      </c>
      <c r="E34" s="44"/>
      <c r="K34" s="25" t="s">
        <v>61</v>
      </c>
      <c r="L34" s="61">
        <f>(7.881-1.368*10^-2*$J$9+8.978*10^-5*$J$9^2)*10^-4</f>
        <v>0.0007595112500000001</v>
      </c>
    </row>
    <row r="35" spans="2:12" ht="15">
      <c r="B35" s="43" t="s">
        <v>62</v>
      </c>
      <c r="C35" s="63">
        <v>4.16E-05</v>
      </c>
      <c r="D35" s="44" t="s">
        <v>41</v>
      </c>
      <c r="E35" s="44" t="s">
        <v>63</v>
      </c>
      <c r="K35" s="25" t="s">
        <v>64</v>
      </c>
      <c r="L35" s="52">
        <f>1.001-1.101*10^-4*$J$9-3.356*10^-6*$J$9^2</f>
        <v>0.9961499999999999</v>
      </c>
    </row>
    <row r="36" spans="2:8" s="26" customFormat="1" ht="15">
      <c r="B36" s="39" t="s">
        <v>304</v>
      </c>
      <c r="C36" s="59">
        <f>$C$37/(57.87*1000000)</f>
        <v>1.7280110592707793E-05</v>
      </c>
      <c r="D36" s="26" t="s">
        <v>305</v>
      </c>
      <c r="H36" s="65"/>
    </row>
    <row r="37" spans="2:8" s="26" customFormat="1" ht="15">
      <c r="B37" s="39" t="s">
        <v>306</v>
      </c>
      <c r="C37" s="58">
        <f>$C$26</f>
        <v>1000</v>
      </c>
      <c r="D37" s="26" t="s">
        <v>307</v>
      </c>
      <c r="E37" s="26" t="s">
        <v>377</v>
      </c>
      <c r="H37" s="65"/>
    </row>
    <row r="38" spans="2:9" s="26" customFormat="1" ht="15">
      <c r="B38" s="39" t="s">
        <v>308</v>
      </c>
      <c r="C38" s="59">
        <f>(($L$32^2+4*$L$31*$L$33)^0.5-$L$32)/(2*$L$31)</f>
        <v>6.396172839398042E-05</v>
      </c>
      <c r="D38" s="26" t="s">
        <v>305</v>
      </c>
      <c r="E38" s="116">
        <f>57.87*$C$38*10^6</f>
        <v>3701.4652221596466</v>
      </c>
      <c r="F38" s="26" t="s">
        <v>381</v>
      </c>
      <c r="G38" s="47">
        <f>$E$38*57.87*1000</f>
        <v>214203792.40637875</v>
      </c>
      <c r="H38" s="26" t="s">
        <v>307</v>
      </c>
      <c r="I38" s="26" t="s">
        <v>309</v>
      </c>
    </row>
    <row r="39" spans="2:7" s="26" customFormat="1" ht="14.25">
      <c r="B39" s="39" t="s">
        <v>310</v>
      </c>
      <c r="C39" s="59">
        <f>(($L$29^2+4*$J$12*$L$30)^0.5-$L$29)/(2*$J$12)</f>
        <v>0.0011929353459475508</v>
      </c>
      <c r="D39" s="26" t="s">
        <v>305</v>
      </c>
      <c r="E39" s="47">
        <f>57.87*$C$39*10^6</f>
        <v>69035.16846998475</v>
      </c>
      <c r="F39" s="26" t="s">
        <v>381</v>
      </c>
      <c r="G39" s="26" t="s">
        <v>311</v>
      </c>
    </row>
    <row r="40" spans="2:5" ht="15">
      <c r="B40" s="37" t="s">
        <v>312</v>
      </c>
      <c r="C40" s="66">
        <f>$J$13*$C$9-$J$14*($C$34-$C$33)</f>
        <v>2.3594882779431912E-08</v>
      </c>
      <c r="D40" s="35" t="s">
        <v>313</v>
      </c>
      <c r="E40" s="35" t="s">
        <v>314</v>
      </c>
    </row>
    <row r="41" spans="2:5" ht="15">
      <c r="B41" s="37" t="s">
        <v>315</v>
      </c>
      <c r="C41" s="66">
        <f>$J$15*$C$9+$J$12*($C$34-$C$33)</f>
        <v>3.972203946249648E-06</v>
      </c>
      <c r="D41" s="35" t="s">
        <v>316</v>
      </c>
      <c r="E41" s="35" t="s">
        <v>317</v>
      </c>
    </row>
    <row r="42" spans="2:10" ht="14.25">
      <c r="B42" s="40" t="s">
        <v>65</v>
      </c>
      <c r="C42" s="53">
        <f>$C$16*$C$17*$C$41</f>
        <v>0.03972203946249648</v>
      </c>
      <c r="D42" s="25" t="s">
        <v>66</v>
      </c>
      <c r="E42" s="41">
        <f>$C$41*100*3600</f>
        <v>1.4299934206498732</v>
      </c>
      <c r="F42" s="25" t="s">
        <v>67</v>
      </c>
      <c r="G42" s="25" t="s">
        <v>68</v>
      </c>
      <c r="I42" s="63"/>
      <c r="J42" s="44"/>
    </row>
    <row r="43" spans="2:6" s="26" customFormat="1" ht="12">
      <c r="B43" s="37" t="s">
        <v>318</v>
      </c>
      <c r="C43" s="91">
        <f>$J$10*$C$40/$C$9</f>
        <v>0.9071736461340856</v>
      </c>
      <c r="D43" s="35" t="s">
        <v>263</v>
      </c>
      <c r="E43" s="35" t="s">
        <v>319</v>
      </c>
      <c r="F43" s="49"/>
    </row>
    <row r="44" spans="2:6" s="26" customFormat="1" ht="15">
      <c r="B44" s="40" t="s">
        <v>70</v>
      </c>
      <c r="C44" s="42">
        <f>$C$15*$C$16*$C$7</f>
        <v>50</v>
      </c>
      <c r="D44" s="25" t="s">
        <v>66</v>
      </c>
      <c r="E44" s="25"/>
      <c r="F44" s="25"/>
    </row>
    <row r="45" spans="2:6" s="26" customFormat="1" ht="15">
      <c r="B45" s="40" t="s">
        <v>71</v>
      </c>
      <c r="C45" s="42">
        <f>$C$44-$C$42</f>
        <v>49.9602779605375</v>
      </c>
      <c r="D45" s="25" t="s">
        <v>66</v>
      </c>
      <c r="E45" s="25"/>
      <c r="F45" s="25"/>
    </row>
    <row r="46" spans="2:5" ht="13.5">
      <c r="B46" s="40" t="s">
        <v>72</v>
      </c>
      <c r="C46" s="41">
        <f>$C$45/($C$15*$C$16)</f>
        <v>9.992055592107501</v>
      </c>
      <c r="D46" s="25" t="s">
        <v>12</v>
      </c>
      <c r="E46" s="25" t="s">
        <v>73</v>
      </c>
    </row>
    <row r="47" spans="2:4" ht="13.5">
      <c r="B47" s="39" t="s">
        <v>74</v>
      </c>
      <c r="C47" s="27">
        <f>$C$7-$B$188*($C$42/($C$15*$C$16))</f>
        <v>9.995861523568765</v>
      </c>
      <c r="D47" s="25" t="s">
        <v>12</v>
      </c>
    </row>
    <row r="48" spans="2:5" ht="13.5">
      <c r="B48" s="39" t="s">
        <v>75</v>
      </c>
      <c r="C48" s="27">
        <f>$C$7-($B$188/2)*($C$42/($C$15*$C$16))</f>
        <v>9.997930761784382</v>
      </c>
      <c r="D48" s="25" t="s">
        <v>12</v>
      </c>
      <c r="E48" s="44"/>
    </row>
    <row r="49" spans="2:5" ht="13.5">
      <c r="B49" s="39" t="s">
        <v>76</v>
      </c>
      <c r="C49" s="27">
        <f>(($L$32^2+4*$L$31*$L$33)^0.5+$L$32)/2</f>
        <v>1.0079444078924995</v>
      </c>
      <c r="D49" s="26" t="s">
        <v>12</v>
      </c>
      <c r="E49" s="26" t="s">
        <v>77</v>
      </c>
    </row>
    <row r="50" spans="2:5" ht="13.5">
      <c r="B50" s="39" t="s">
        <v>78</v>
      </c>
      <c r="C50" s="27">
        <f>$C$8+$B$188*($C$49-$C$8)</f>
        <v>1.0041384764312358</v>
      </c>
      <c r="D50" s="26" t="s">
        <v>12</v>
      </c>
      <c r="E50" s="26"/>
    </row>
    <row r="51" spans="2:5" ht="13.5">
      <c r="B51" s="39" t="s">
        <v>79</v>
      </c>
      <c r="C51" s="27">
        <f>$C$8+($B$188/2)*($C$49-$C$8)</f>
        <v>1.002069238215618</v>
      </c>
      <c r="D51" s="26" t="s">
        <v>12</v>
      </c>
      <c r="E51" s="26"/>
    </row>
    <row r="52" spans="2:8" ht="15">
      <c r="B52" s="40" t="s">
        <v>80</v>
      </c>
      <c r="C52" s="41">
        <f>$C$15*$C$16*$C$8</f>
        <v>5</v>
      </c>
      <c r="D52" s="25" t="s">
        <v>66</v>
      </c>
      <c r="E52" s="48"/>
      <c r="F52" s="51"/>
      <c r="G52" s="49"/>
      <c r="H52" s="49"/>
    </row>
    <row r="53" spans="2:8" ht="15">
      <c r="B53" s="40" t="s">
        <v>81</v>
      </c>
      <c r="C53" s="41">
        <f>$C$15*$C$16*$C$49</f>
        <v>5.0397220394624975</v>
      </c>
      <c r="D53" s="25" t="s">
        <v>66</v>
      </c>
      <c r="E53" s="48"/>
      <c r="F53" s="51"/>
      <c r="G53" s="49"/>
      <c r="H53" s="49"/>
    </row>
    <row r="54" spans="2:8" ht="12">
      <c r="B54" s="40"/>
      <c r="C54" s="41"/>
      <c r="E54" s="48"/>
      <c r="F54" s="51"/>
      <c r="G54" s="49"/>
      <c r="H54" s="49"/>
    </row>
    <row r="55" spans="2:10" s="14" customFormat="1" ht="14.25">
      <c r="B55" s="5" t="s">
        <v>246</v>
      </c>
      <c r="H55" s="37"/>
      <c r="I55" s="50"/>
      <c r="J55" s="35"/>
    </row>
    <row r="56" spans="3:7" ht="12">
      <c r="C56" s="68" t="s">
        <v>82</v>
      </c>
      <c r="D56" s="68" t="s">
        <v>83</v>
      </c>
      <c r="E56" s="69" t="s">
        <v>84</v>
      </c>
      <c r="F56" s="36"/>
      <c r="G56" s="35"/>
    </row>
    <row r="57" spans="3:10" ht="12">
      <c r="C57" s="54" t="s">
        <v>85</v>
      </c>
      <c r="D57" s="54" t="s">
        <v>2</v>
      </c>
      <c r="E57" s="54" t="s">
        <v>86</v>
      </c>
      <c r="F57" s="36"/>
      <c r="G57" s="35"/>
      <c r="H57" s="37"/>
      <c r="I57" s="36"/>
      <c r="J57" s="35"/>
    </row>
    <row r="58" spans="2:10" ht="15">
      <c r="B58" s="40" t="s">
        <v>87</v>
      </c>
      <c r="C58" s="61">
        <f>$C$36*1000</f>
        <v>0.017280110592707794</v>
      </c>
      <c r="D58" s="61">
        <f>$C$34*1000</f>
        <v>0.041597942413115846</v>
      </c>
      <c r="E58" s="59">
        <f>$C$38*1000</f>
        <v>0.06396172839398041</v>
      </c>
      <c r="F58" s="25" t="s">
        <v>46</v>
      </c>
      <c r="G58" s="35"/>
      <c r="I58" s="61"/>
      <c r="J58" s="35"/>
    </row>
    <row r="59" spans="2:10" ht="15">
      <c r="B59" s="40" t="s">
        <v>88</v>
      </c>
      <c r="C59" s="41">
        <f>57.87*C$58</f>
        <v>1</v>
      </c>
      <c r="D59" s="41">
        <f>57.87*D$58</f>
        <v>2.4072729274470137</v>
      </c>
      <c r="E59" s="41">
        <f>57.87*E$58</f>
        <v>3.7014652221596465</v>
      </c>
      <c r="F59" s="25" t="s">
        <v>47</v>
      </c>
      <c r="G59" s="35"/>
      <c r="J59" s="35"/>
    </row>
    <row r="60" spans="2:10" ht="13.5">
      <c r="B60" s="40" t="s">
        <v>89</v>
      </c>
      <c r="C60" s="41">
        <f>(($L$35^2+4*$L$34*C$59)^0.5-$L$35)/(2*$L$34)</f>
        <v>1.0030977021358913</v>
      </c>
      <c r="D60" s="41">
        <f>(($L$35^2+4*$L$34*D$59)^0.5-$L$35)/(2*$L$34)</f>
        <v>2.4121405115660943</v>
      </c>
      <c r="E60" s="41">
        <f>(($L$35^2+4*$L$34*E$59)^0.5-$L$35)/(2*$L$34)</f>
        <v>3.705303103262338</v>
      </c>
      <c r="F60" s="25" t="s">
        <v>90</v>
      </c>
      <c r="G60" s="35"/>
      <c r="H60" s="37"/>
      <c r="I60" s="38"/>
      <c r="J60" s="35"/>
    </row>
    <row r="61" spans="2:10" ht="12">
      <c r="B61" s="40" t="s">
        <v>91</v>
      </c>
      <c r="C61" s="59">
        <f>(0.9383+3.463*10^-2*$J$9)*10^-3*C$60-(1.655+3.863*10^-2*$J$9)*10^-6*C$60^2-(1.344+3.16*10^-2*$J$9)*10^-9*C$60^3</f>
        <v>0.001806999243891441</v>
      </c>
      <c r="D61" s="59">
        <f>(0.9383+3.463*10^-2*$J$9)*10^-3*D$60-(1.655+3.863*10^-2*$J$9)*10^-6*D$60^2-(1.344+3.16*10^-2*$J$9)*10^-9*D$60^3</f>
        <v>0.004336343510461733</v>
      </c>
      <c r="E61" s="59">
        <f>(0.9383+3.463*10^-2*$J$9)*10^-3*E$60-(1.655+3.863*10^-2*$J$9)*10^-6*E$60^2-(1.344+3.16*10^-2*$J$9)*10^-9*E$60^3</f>
        <v>0.006648462517288676</v>
      </c>
      <c r="F61" s="25" t="s">
        <v>92</v>
      </c>
      <c r="G61" s="26" t="s">
        <v>93</v>
      </c>
      <c r="H61" s="37"/>
      <c r="I61" s="38"/>
      <c r="J61" s="35"/>
    </row>
    <row r="62" spans="2:10" ht="14.25">
      <c r="B62" s="37" t="s">
        <v>320</v>
      </c>
      <c r="C62" s="38">
        <f>$C$15/((1-$C$22)*C$61)</f>
        <v>29.932316396420948</v>
      </c>
      <c r="D62" s="38">
        <f>$C$15/((1-$C$22)*D$61)</f>
        <v>12.473106193215951</v>
      </c>
      <c r="E62" s="38">
        <f>$C$15/((1-$C$22)*E$61)</f>
        <v>8.135365575966222</v>
      </c>
      <c r="F62" s="35" t="s">
        <v>321</v>
      </c>
      <c r="G62" s="35" t="s">
        <v>363</v>
      </c>
      <c r="H62" s="37"/>
      <c r="I62" s="38"/>
      <c r="J62" s="35"/>
    </row>
    <row r="63" spans="2:7" ht="12">
      <c r="B63" s="40" t="s">
        <v>95</v>
      </c>
      <c r="C63" s="64">
        <f>0.5927+0.4355*C$60^-0.5-7.201*10^-5*C$60+3.503*10^-6*C$60^2</f>
        <v>1.0274583301033826</v>
      </c>
      <c r="D63" s="64">
        <f>0.5927+0.4355*D$60^-0.5-7.201*10^-5*D$60+3.503*10^-6*D$60^2</f>
        <v>0.8729523968857493</v>
      </c>
      <c r="E63" s="64">
        <f>0.5927+0.4355*E$60^-0.5-7.201*10^-5*E$60+3.503*10^-6*E$60^2</f>
        <v>0.81872486776486</v>
      </c>
      <c r="F63" s="25" t="s">
        <v>11</v>
      </c>
      <c r="G63" s="25" t="s">
        <v>96</v>
      </c>
    </row>
    <row r="64" s="14" customFormat="1" ht="14.25"/>
    <row r="65" s="14" customFormat="1" ht="14.25">
      <c r="B65" s="5" t="s">
        <v>247</v>
      </c>
    </row>
    <row r="66" s="14" customFormat="1" ht="14.25">
      <c r="B66" s="25" t="s">
        <v>97</v>
      </c>
    </row>
    <row r="67" spans="2:4" ht="15">
      <c r="B67" s="40" t="s">
        <v>98</v>
      </c>
      <c r="C67" s="53">
        <f>$C$27*10^3</f>
        <v>0.0116329</v>
      </c>
      <c r="D67" s="25" t="s">
        <v>46</v>
      </c>
    </row>
    <row r="68" spans="2:4" ht="15">
      <c r="B68" s="40" t="s">
        <v>99</v>
      </c>
      <c r="C68" s="52">
        <f>57.87*$C$67</f>
        <v>0.673195923</v>
      </c>
      <c r="D68" s="25" t="s">
        <v>47</v>
      </c>
    </row>
    <row r="69" spans="2:4" ht="13.5">
      <c r="B69" s="40" t="s">
        <v>100</v>
      </c>
      <c r="C69" s="52">
        <f>(($L$35^2+4*$L$34*$C$68)^0.5-$L$35)/(2*$L$34)</f>
        <v>0.6754498913228747</v>
      </c>
      <c r="D69" s="25" t="s">
        <v>90</v>
      </c>
    </row>
    <row r="70" spans="2:5" ht="13.5">
      <c r="B70" s="40" t="s">
        <v>101</v>
      </c>
      <c r="C70" s="61">
        <f>(0.9383+3.463*10^-2*$J$9)*10^-3*$C$69-(1.655+3.863*10^-2*$J$9)*10^-6*$C$69^2-(1.344+3.16*10^-2*$J$9)*10^-9*$C$69^3</f>
        <v>0.0012173490473525134</v>
      </c>
      <c r="D70" s="25" t="s">
        <v>92</v>
      </c>
      <c r="E70" s="26" t="s">
        <v>102</v>
      </c>
    </row>
    <row r="71" spans="2:7" ht="15">
      <c r="B71" s="37" t="s">
        <v>322</v>
      </c>
      <c r="C71" s="38">
        <f>$C$15/((1-$C$22)*$C$70)</f>
        <v>44.43070228204616</v>
      </c>
      <c r="D71" s="35" t="s">
        <v>297</v>
      </c>
      <c r="E71" s="35" t="s">
        <v>323</v>
      </c>
      <c r="F71" s="49"/>
      <c r="G71" s="26"/>
    </row>
    <row r="72" spans="2:5" ht="13.5">
      <c r="B72" s="40" t="s">
        <v>103</v>
      </c>
      <c r="C72" s="52">
        <f>0.5927+0.4355*$C$69^-0.5-7.201*10^-5*$C$69+3.503*10^-6*$C$69^2</f>
        <v>1.1225501182629378</v>
      </c>
      <c r="D72" s="25" t="s">
        <v>11</v>
      </c>
      <c r="E72" s="64" t="s">
        <v>96</v>
      </c>
    </row>
    <row r="75" ht="12">
      <c r="B75" s="25" t="s">
        <v>104</v>
      </c>
    </row>
    <row r="76" spans="2:5" ht="13.5">
      <c r="B76" s="40" t="s">
        <v>101</v>
      </c>
      <c r="D76" s="61">
        <f>$C$70</f>
        <v>0.0012173490473525134</v>
      </c>
      <c r="E76" s="25" t="s">
        <v>92</v>
      </c>
    </row>
    <row r="77" spans="2:5" ht="12">
      <c r="B77" s="39" t="s">
        <v>91</v>
      </c>
      <c r="C77" s="26"/>
      <c r="D77" s="59">
        <f>$C$61</f>
        <v>0.001806999243891441</v>
      </c>
      <c r="E77" s="26" t="s">
        <v>92</v>
      </c>
    </row>
    <row r="78" spans="2:6" ht="13.5">
      <c r="B78" s="40" t="s">
        <v>105</v>
      </c>
      <c r="D78" s="52">
        <f>10^(0.338+0.6386*LOG($D$76)+0.2961*(LOG($D$76))^2)</f>
        <v>9.818787535504821</v>
      </c>
      <c r="E78" s="25" t="s">
        <v>11</v>
      </c>
      <c r="F78" s="26" t="s">
        <v>106</v>
      </c>
    </row>
    <row r="79" spans="2:5" ht="13.5">
      <c r="B79" s="40" t="s">
        <v>107</v>
      </c>
      <c r="D79" s="52">
        <f>1-0.1359*LOG($D$77/$D$76)</f>
        <v>0.9766873266013736</v>
      </c>
      <c r="E79" s="25" t="s">
        <v>11</v>
      </c>
    </row>
    <row r="80" spans="2:7" ht="15">
      <c r="B80" s="37" t="s">
        <v>324</v>
      </c>
      <c r="C80" s="35"/>
      <c r="D80" s="38">
        <f>$D$78*$D$79*$J$18</f>
        <v>51.976551227137406</v>
      </c>
      <c r="E80" s="35" t="s">
        <v>297</v>
      </c>
      <c r="F80" s="35" t="s">
        <v>325</v>
      </c>
      <c r="G80" s="49"/>
    </row>
    <row r="81" ht="12">
      <c r="D81" s="41"/>
    </row>
    <row r="82" spans="2:10" s="14" customFormat="1" ht="18.75">
      <c r="B82" s="5" t="s">
        <v>248</v>
      </c>
      <c r="E82" s="37"/>
      <c r="F82" s="38"/>
      <c r="G82" s="35"/>
      <c r="H82" s="37"/>
      <c r="I82" s="36"/>
      <c r="J82" s="35"/>
    </row>
    <row r="83" spans="2:10" ht="12">
      <c r="B83" s="25" t="s">
        <v>108</v>
      </c>
      <c r="H83" s="37"/>
      <c r="I83" s="50"/>
      <c r="J83" s="35"/>
    </row>
    <row r="84" spans="1:9" s="54" customFormat="1" ht="13.5">
      <c r="A84" s="68" t="s">
        <v>0</v>
      </c>
      <c r="B84" s="68" t="s">
        <v>109</v>
      </c>
      <c r="C84" s="68" t="s">
        <v>110</v>
      </c>
      <c r="D84" s="68" t="s">
        <v>111</v>
      </c>
      <c r="E84" s="68" t="s">
        <v>112</v>
      </c>
      <c r="F84" s="68" t="s">
        <v>113</v>
      </c>
      <c r="G84" s="68" t="s">
        <v>114</v>
      </c>
      <c r="H84" s="68" t="s">
        <v>115</v>
      </c>
      <c r="I84" s="68" t="s">
        <v>116</v>
      </c>
    </row>
    <row r="85" spans="2:9" s="54" customFormat="1" ht="14.25">
      <c r="B85" s="54" t="s">
        <v>11</v>
      </c>
      <c r="C85" s="54" t="s">
        <v>46</v>
      </c>
      <c r="D85" s="54" t="s">
        <v>47</v>
      </c>
      <c r="E85" s="54" t="s">
        <v>90</v>
      </c>
      <c r="F85" s="54" t="s">
        <v>92</v>
      </c>
      <c r="G85" s="54" t="s">
        <v>94</v>
      </c>
      <c r="I85" s="54" t="s">
        <v>94</v>
      </c>
    </row>
    <row r="87" spans="1:9" ht="12">
      <c r="A87" s="25">
        <v>0</v>
      </c>
      <c r="B87" s="25">
        <f>-3*$C$6</f>
        <v>-0.30000000000000004</v>
      </c>
      <c r="C87" s="60">
        <f aca="true" t="shared" si="0" ref="C87:C99">($C$27-(($C$43*$C$17)/($C$15*$J$10))*$C$9/($C$47*($B87+1)))*10^3</f>
        <v>0.004888713854621259</v>
      </c>
      <c r="D87" s="52">
        <f>57.87*$C87</f>
        <v>0.28290987076693225</v>
      </c>
      <c r="E87" s="52">
        <f aca="true" t="shared" si="1" ref="E87:E99">(($L$35^2+4*$L$34*$D87)^0.5-$L$35)/(2*$L$34)</f>
        <v>0.28394181270600505</v>
      </c>
      <c r="F87" s="61">
        <f aca="true" t="shared" si="2" ref="F87:F99">(0.9383+3.463*10^-2*$J$9)*10^-3*$E87-(1.655+3.863*10^-2*$J$9)*10^-6*$E87^2-(1.344+3.16*10^-2*$J$9)*10^-9*$E87^3</f>
        <v>0.0005120338857561731</v>
      </c>
      <c r="G87" s="41">
        <f aca="true" t="shared" si="3" ref="G87:G99">$C$15/((1-$C$22)*$F87)</f>
        <v>105.63299539516844</v>
      </c>
      <c r="H87" s="25">
        <f>3*$C$12/1000</f>
        <v>0.9</v>
      </c>
      <c r="I87" s="42">
        <f>$H87*$G87</f>
        <v>95.06969585565159</v>
      </c>
    </row>
    <row r="88" spans="1:9" ht="12">
      <c r="A88" s="25">
        <v>1</v>
      </c>
      <c r="B88" s="25">
        <f>$B$87-$A88*($B$87/6)</f>
        <v>-0.25000000000000006</v>
      </c>
      <c r="C88" s="60">
        <f t="shared" si="0"/>
        <v>0.0053383262643131755</v>
      </c>
      <c r="D88" s="52">
        <f aca="true" t="shared" si="4" ref="D88:D99">57.87*$C88</f>
        <v>0.3089289409158035</v>
      </c>
      <c r="E88" s="52">
        <f t="shared" si="1"/>
        <v>0.31004961955235655</v>
      </c>
      <c r="F88" s="61">
        <f t="shared" si="2"/>
        <v>0.0005590930178423759</v>
      </c>
      <c r="G88" s="41">
        <f t="shared" si="3"/>
        <v>96.74181463575508</v>
      </c>
      <c r="H88" s="25">
        <f>9.2*$C$12/1000</f>
        <v>2.76</v>
      </c>
      <c r="I88" s="42">
        <f aca="true" t="shared" si="5" ref="I88:I99">$H88*$G88</f>
        <v>267.007408394684</v>
      </c>
    </row>
    <row r="89" spans="1:9" ht="12">
      <c r="A89" s="25">
        <v>2</v>
      </c>
      <c r="B89" s="25">
        <f>$B$87-$A89*($B$87/6)</f>
        <v>-0.2</v>
      </c>
      <c r="C89" s="60">
        <f t="shared" si="0"/>
        <v>0.005731737122793602</v>
      </c>
      <c r="D89" s="52">
        <f t="shared" si="4"/>
        <v>0.3316956272960658</v>
      </c>
      <c r="E89" s="52">
        <f t="shared" si="1"/>
        <v>0.33289309834756686</v>
      </c>
      <c r="F89" s="61">
        <f t="shared" si="2"/>
        <v>0.0006002652895611603</v>
      </c>
      <c r="G89" s="41">
        <f t="shared" si="3"/>
        <v>90.10628140066912</v>
      </c>
      <c r="H89" s="25">
        <f>27.9*$C$12/1000</f>
        <v>8.37</v>
      </c>
      <c r="I89" s="42">
        <f t="shared" si="5"/>
        <v>754.1895753236005</v>
      </c>
    </row>
    <row r="90" spans="1:9" ht="12">
      <c r="A90" s="25">
        <v>3</v>
      </c>
      <c r="B90" s="25">
        <f aca="true" t="shared" si="6" ref="B90:B99">$B$87-$A90*($B$87/6)</f>
        <v>-0.15000000000000002</v>
      </c>
      <c r="C90" s="60">
        <f t="shared" si="0"/>
        <v>0.006078864350864566</v>
      </c>
      <c r="D90" s="52">
        <f t="shared" si="4"/>
        <v>0.3517838799845324</v>
      </c>
      <c r="E90" s="52">
        <f t="shared" si="1"/>
        <v>0.35304844859363577</v>
      </c>
      <c r="F90" s="61">
        <f t="shared" si="2"/>
        <v>0.000636590301093597</v>
      </c>
      <c r="G90" s="41">
        <f t="shared" si="3"/>
        <v>84.96465152443407</v>
      </c>
      <c r="H90" s="25">
        <f>65.5*$C$12/1000</f>
        <v>19.65</v>
      </c>
      <c r="I90" s="42">
        <f>$H90*$G90</f>
        <v>1669.5554024551295</v>
      </c>
    </row>
    <row r="91" spans="1:9" ht="12">
      <c r="A91" s="25">
        <v>4</v>
      </c>
      <c r="B91" s="25">
        <f t="shared" si="6"/>
        <v>-0.1</v>
      </c>
      <c r="C91" s="60">
        <f t="shared" si="0"/>
        <v>0.006387421886927647</v>
      </c>
      <c r="D91" s="52">
        <f t="shared" si="4"/>
        <v>0.36964010459650287</v>
      </c>
      <c r="E91" s="52">
        <f t="shared" si="1"/>
        <v>0.3709637957242599</v>
      </c>
      <c r="F91" s="61">
        <f t="shared" si="2"/>
        <v>0.0006688764744844666</v>
      </c>
      <c r="G91" s="41">
        <f t="shared" si="3"/>
        <v>80.86347055028338</v>
      </c>
      <c r="H91" s="25">
        <f>121*$C$12/1000</f>
        <v>36.3</v>
      </c>
      <c r="I91" s="42">
        <f>$H91*$G91</f>
        <v>2935.3439809752863</v>
      </c>
    </row>
    <row r="92" spans="1:9" ht="12">
      <c r="A92" s="25">
        <v>5</v>
      </c>
      <c r="B92" s="25">
        <f t="shared" si="6"/>
        <v>-0.04999999999999999</v>
      </c>
      <c r="C92" s="60">
        <f t="shared" si="0"/>
        <v>0.006663499682352508</v>
      </c>
      <c r="D92" s="52">
        <f>57.87*$C92</f>
        <v>0.3856167266177396</v>
      </c>
      <c r="E92" s="52">
        <f t="shared" si="1"/>
        <v>0.3869929022233641</v>
      </c>
      <c r="F92" s="61">
        <f t="shared" si="2"/>
        <v>0.0006977619288656161</v>
      </c>
      <c r="G92" s="41">
        <f t="shared" si="3"/>
        <v>77.5159418401988</v>
      </c>
      <c r="H92" s="25">
        <f>174.7*$C$12/1000</f>
        <v>52.41</v>
      </c>
      <c r="I92" s="42">
        <f t="shared" si="5"/>
        <v>4062.610511844819</v>
      </c>
    </row>
    <row r="93" spans="1:9" ht="12">
      <c r="A93" s="25">
        <v>6</v>
      </c>
      <c r="B93" s="25">
        <f t="shared" si="6"/>
        <v>0</v>
      </c>
      <c r="C93" s="60">
        <f t="shared" si="0"/>
        <v>0.006911969698234882</v>
      </c>
      <c r="D93" s="52">
        <f>57.87*$C93</f>
        <v>0.39999568643685257</v>
      </c>
      <c r="E93" s="52">
        <f t="shared" si="1"/>
        <v>0.4014187632933523</v>
      </c>
      <c r="F93" s="61">
        <f t="shared" si="2"/>
        <v>0.0007237570820305435</v>
      </c>
      <c r="G93" s="41">
        <f t="shared" si="3"/>
        <v>74.73180496487282</v>
      </c>
      <c r="H93" s="25">
        <f>197.4*$C$12/1000</f>
        <v>59.22</v>
      </c>
      <c r="I93" s="42">
        <f t="shared" si="5"/>
        <v>4425.617490019768</v>
      </c>
    </row>
    <row r="94" spans="1:9" ht="12">
      <c r="A94" s="25">
        <v>7</v>
      </c>
      <c r="B94" s="25">
        <f t="shared" si="6"/>
        <v>0.050000000000000044</v>
      </c>
      <c r="C94" s="60">
        <f t="shared" si="0"/>
        <v>0.00713677590308084</v>
      </c>
      <c r="D94" s="52">
        <f t="shared" si="4"/>
        <v>0.4130052215112882</v>
      </c>
      <c r="E94" s="52">
        <f t="shared" si="1"/>
        <v>0.4144704595618588</v>
      </c>
      <c r="F94" s="61">
        <f t="shared" si="2"/>
        <v>0.0007472750730961407</v>
      </c>
      <c r="G94" s="41">
        <f t="shared" si="3"/>
        <v>72.37987060394478</v>
      </c>
      <c r="H94" s="25">
        <f>174.7*$C$12/1000</f>
        <v>52.41</v>
      </c>
      <c r="I94" s="42">
        <f t="shared" si="5"/>
        <v>3793.4290183527455</v>
      </c>
    </row>
    <row r="95" spans="1:9" ht="12">
      <c r="A95" s="25">
        <v>8</v>
      </c>
      <c r="B95" s="25">
        <f t="shared" si="6"/>
        <v>0.10000000000000003</v>
      </c>
      <c r="C95" s="60">
        <f t="shared" si="0"/>
        <v>0.007341145180213529</v>
      </c>
      <c r="D95" s="52">
        <f>57.87*$C95</f>
        <v>0.4248320715789569</v>
      </c>
      <c r="E95" s="52">
        <f t="shared" si="1"/>
        <v>0.426335412722128</v>
      </c>
      <c r="F95" s="61">
        <f t="shared" si="2"/>
        <v>0.0007686538834965721</v>
      </c>
      <c r="G95" s="41">
        <f t="shared" si="3"/>
        <v>70.36674666913753</v>
      </c>
      <c r="H95" s="25">
        <f>121*$C$12/1000</f>
        <v>36.3</v>
      </c>
      <c r="I95" s="42">
        <f t="shared" si="5"/>
        <v>2554.312904089692</v>
      </c>
    </row>
    <row r="96" spans="1:10" ht="12">
      <c r="A96" s="25">
        <v>9</v>
      </c>
      <c r="B96" s="25">
        <f t="shared" si="6"/>
        <v>0.15000000000000002</v>
      </c>
      <c r="C96" s="60">
        <f t="shared" si="0"/>
        <v>0.007527743215856419</v>
      </c>
      <c r="D96" s="52">
        <f t="shared" si="4"/>
        <v>0.4356304999016109</v>
      </c>
      <c r="E96" s="52">
        <f t="shared" si="1"/>
        <v>0.4371684434685512</v>
      </c>
      <c r="F96" s="61">
        <f t="shared" si="2"/>
        <v>0.000788172684236902</v>
      </c>
      <c r="G96" s="41">
        <f t="shared" si="3"/>
        <v>68.62414059505117</v>
      </c>
      <c r="H96" s="25">
        <f>65.5*$C$12/1000</f>
        <v>19.65</v>
      </c>
      <c r="I96" s="42">
        <f t="shared" si="5"/>
        <v>1348.4643626927555</v>
      </c>
      <c r="J96" s="40"/>
    </row>
    <row r="97" spans="1:9" ht="12">
      <c r="A97" s="25">
        <v>10</v>
      </c>
      <c r="B97" s="25">
        <f t="shared" si="6"/>
        <v>0.20000000000000007</v>
      </c>
      <c r="C97" s="60">
        <f t="shared" si="0"/>
        <v>0.007698791415195735</v>
      </c>
      <c r="D97" s="52">
        <f t="shared" si="4"/>
        <v>0.4455290591973772</v>
      </c>
      <c r="E97" s="52">
        <f t="shared" si="1"/>
        <v>0.4470985645545034</v>
      </c>
      <c r="F97" s="61">
        <f t="shared" si="2"/>
        <v>0.0008060640942669545</v>
      </c>
      <c r="G97" s="41">
        <f t="shared" si="3"/>
        <v>67.10095820040227</v>
      </c>
      <c r="H97" s="25">
        <f>27.9*$C$12/1000</f>
        <v>8.37</v>
      </c>
      <c r="I97" s="42">
        <f t="shared" si="5"/>
        <v>561.635020137367</v>
      </c>
    </row>
    <row r="98" spans="1:9" ht="12">
      <c r="A98" s="25">
        <v>11</v>
      </c>
      <c r="B98" s="25">
        <f t="shared" si="6"/>
        <v>0.2500000000000001</v>
      </c>
      <c r="C98" s="60">
        <f t="shared" si="0"/>
        <v>0.007856155758587906</v>
      </c>
      <c r="D98" s="52">
        <f t="shared" si="4"/>
        <v>0.45463573374948213</v>
      </c>
      <c r="E98" s="52">
        <f t="shared" si="1"/>
        <v>0.456234143243072</v>
      </c>
      <c r="F98" s="61">
        <f t="shared" si="2"/>
        <v>0.0008225234954153955</v>
      </c>
      <c r="G98" s="41">
        <f t="shared" si="3"/>
        <v>65.75821043134624</v>
      </c>
      <c r="H98" s="25">
        <f>9.2*$C$12/1000</f>
        <v>2.76</v>
      </c>
      <c r="I98" s="42">
        <f t="shared" si="5"/>
        <v>181.49266079051563</v>
      </c>
    </row>
    <row r="99" spans="1:12" ht="12">
      <c r="A99" s="25">
        <v>12</v>
      </c>
      <c r="B99" s="25">
        <f t="shared" si="6"/>
        <v>0.30000000000000004</v>
      </c>
      <c r="C99" s="60">
        <f t="shared" si="0"/>
        <v>0.00800141515248837</v>
      </c>
      <c r="D99" s="52">
        <f t="shared" si="4"/>
        <v>0.463041894874502</v>
      </c>
      <c r="E99" s="52">
        <f t="shared" si="1"/>
        <v>0.46466687223153486</v>
      </c>
      <c r="F99" s="61">
        <f t="shared" si="2"/>
        <v>0.000837716196719772</v>
      </c>
      <c r="G99" s="41">
        <f t="shared" si="3"/>
        <v>64.5656289182924</v>
      </c>
      <c r="H99" s="25">
        <f>3*$C$12/1000</f>
        <v>0.9</v>
      </c>
      <c r="I99" s="42">
        <f t="shared" si="5"/>
        <v>58.10906602646317</v>
      </c>
      <c r="J99" s="35" t="s">
        <v>326</v>
      </c>
      <c r="K99" s="35"/>
      <c r="L99" s="35"/>
    </row>
    <row r="100" spans="5:12" ht="14.25">
      <c r="E100" s="42"/>
      <c r="H100" s="25">
        <f>SUM(H87:H99)</f>
        <v>299.99999999999994</v>
      </c>
      <c r="I100" s="42">
        <f>SUM(I87:I99)</f>
        <v>22706.83709695848</v>
      </c>
      <c r="J100" s="38">
        <f>$I$100/$C$14</f>
        <v>75.6894569898616</v>
      </c>
      <c r="K100" s="35" t="s">
        <v>327</v>
      </c>
      <c r="L100" s="35"/>
    </row>
    <row r="101" spans="8:9" ht="12">
      <c r="H101" s="70"/>
      <c r="I101" s="42"/>
    </row>
    <row r="102" spans="2:5" ht="12">
      <c r="B102" s="25" t="s">
        <v>117</v>
      </c>
      <c r="E102" s="25" t="s">
        <v>118</v>
      </c>
    </row>
    <row r="103" spans="1:8" s="54" customFormat="1" ht="15">
      <c r="A103" s="68" t="s">
        <v>0</v>
      </c>
      <c r="B103" s="68" t="s">
        <v>119</v>
      </c>
      <c r="C103" s="68" t="s">
        <v>120</v>
      </c>
      <c r="D103" s="71"/>
      <c r="E103" s="68" t="s">
        <v>121</v>
      </c>
      <c r="F103" s="68" t="s">
        <v>122</v>
      </c>
      <c r="G103" s="68" t="s">
        <v>123</v>
      </c>
      <c r="H103" s="68" t="s">
        <v>124</v>
      </c>
    </row>
    <row r="104" spans="2:8" s="54" customFormat="1" ht="13.5">
      <c r="B104" s="54" t="s">
        <v>11</v>
      </c>
      <c r="C104" s="68" t="s">
        <v>125</v>
      </c>
      <c r="E104" s="71"/>
      <c r="F104" s="72"/>
      <c r="H104" s="73"/>
    </row>
    <row r="105" spans="3:8" s="54" customFormat="1" ht="15">
      <c r="C105" s="68" t="s">
        <v>126</v>
      </c>
      <c r="D105" s="69"/>
      <c r="E105" s="54" t="s">
        <v>11</v>
      </c>
      <c r="F105" s="54" t="s">
        <v>11</v>
      </c>
      <c r="G105" s="54" t="s">
        <v>94</v>
      </c>
      <c r="H105" s="54" t="s">
        <v>94</v>
      </c>
    </row>
    <row r="106" spans="1:8" ht="12">
      <c r="A106" s="25">
        <v>0</v>
      </c>
      <c r="B106" s="52">
        <f>0.5927+0.4355*$E87^-0.5-7.201*10^-5*$E87+3.503*10^-6*$E87^2</f>
        <v>1.4099647527182693</v>
      </c>
      <c r="C106" s="28">
        <f aca="true" t="shared" si="7" ref="C106:C118">$H87*LN(($E$63*$E$58)/($B106*$C87))</f>
        <v>1.8250053865197422</v>
      </c>
      <c r="D106" s="26"/>
      <c r="E106" s="41">
        <f>10^(0.338+0.6386*LOG($F87)+0.2961*(LOG($F87))^2)</f>
        <v>27.72941266905126</v>
      </c>
      <c r="F106" s="64">
        <f>1-0.1359*LOG($E$61/$F87)</f>
        <v>0.8486858793084089</v>
      </c>
      <c r="G106" s="41">
        <f aca="true" t="shared" si="8" ref="G106:G118">$E106*$F106*$J$18</f>
        <v>127.55036093287842</v>
      </c>
      <c r="H106" s="42">
        <f aca="true" t="shared" si="9" ref="H106:H118">$H87*$G106</f>
        <v>114.79532483959058</v>
      </c>
    </row>
    <row r="107" spans="1:8" ht="12">
      <c r="A107" s="25">
        <v>1</v>
      </c>
      <c r="B107" s="52">
        <f aca="true" t="shared" si="10" ref="B107:B118">0.5927+0.4355*$E88^-0.5-7.201*10^-5*$E88+3.503*10^-6*$E88^2</f>
        <v>1.3747965087592986</v>
      </c>
      <c r="C107" s="28">
        <f t="shared" si="7"/>
        <v>5.423565118527329</v>
      </c>
      <c r="D107" s="45"/>
      <c r="E107" s="41">
        <f>10^(0.338+0.6386*LOG($F88)+0.2961*(LOG($F88))^2)</f>
        <v>24.736812532191678</v>
      </c>
      <c r="F107" s="64">
        <f aca="true" t="shared" si="11" ref="F107:F118">1-0.1359*LOG($E$61/$F88)</f>
        <v>0.8538752705039284</v>
      </c>
      <c r="G107" s="41">
        <f t="shared" si="8"/>
        <v>114.48068471585434</v>
      </c>
      <c r="H107" s="42">
        <f t="shared" si="9"/>
        <v>315.96668981575795</v>
      </c>
    </row>
    <row r="108" spans="1:8" ht="12">
      <c r="A108" s="25">
        <v>2</v>
      </c>
      <c r="B108" s="52">
        <f t="shared" si="10"/>
        <v>1.3474831464353259</v>
      </c>
      <c r="C108" s="28">
        <f t="shared" si="7"/>
        <v>16.0203520727198</v>
      </c>
      <c r="D108" s="45"/>
      <c r="E108" s="41">
        <f>10^(0.338+0.6386*LOG($F89)+0.2961*(LOG($F89))^2)</f>
        <v>22.58880760657762</v>
      </c>
      <c r="F108" s="64">
        <f>1-0.1359*LOG($E$61/$F89)</f>
        <v>0.8580690306561088</v>
      </c>
      <c r="G108" s="41">
        <f t="shared" si="8"/>
        <v>105.05327085405374</v>
      </c>
      <c r="H108" s="42">
        <f t="shared" si="9"/>
        <v>879.2958770484297</v>
      </c>
    </row>
    <row r="109" spans="1:8" ht="12">
      <c r="A109" s="25">
        <v>3</v>
      </c>
      <c r="B109" s="52">
        <f>0.5927+0.4355*$E90^-0.5-7.201*10^-5*$E90+3.503*10^-6*$E90^2</f>
        <v>1.3256193708068984</v>
      </c>
      <c r="C109" s="28">
        <f t="shared" si="7"/>
        <v>36.77654755540404</v>
      </c>
      <c r="D109" s="45"/>
      <c r="E109" s="41">
        <f>10^(0.338+0.6386*LOG($F90)+0.2961*(LOG($F90))^2)</f>
        <v>20.974833949796718</v>
      </c>
      <c r="F109" s="64">
        <f t="shared" si="11"/>
        <v>0.8615367619574308</v>
      </c>
      <c r="G109" s="41">
        <f t="shared" si="8"/>
        <v>97.94141847638427</v>
      </c>
      <c r="H109" s="42">
        <f t="shared" si="9"/>
        <v>1924.5488730609509</v>
      </c>
    </row>
    <row r="110" spans="1:8" ht="12">
      <c r="A110" s="25">
        <v>4</v>
      </c>
      <c r="B110" s="52">
        <f t="shared" si="10"/>
        <v>1.307700694215092</v>
      </c>
      <c r="C110" s="28">
        <f t="shared" si="7"/>
        <v>66.635060437792</v>
      </c>
      <c r="D110" s="45"/>
      <c r="E110" s="41">
        <f>10^(0.338+0.6386*LOG($F91)+0.2961*(LOG($F91))^2)</f>
        <v>19.719168128578115</v>
      </c>
      <c r="F110" s="64">
        <f t="shared" si="11"/>
        <v>0.8644566962839694</v>
      </c>
      <c r="G110" s="41">
        <f t="shared" si="8"/>
        <v>92.39019362345061</v>
      </c>
      <c r="H110" s="42">
        <f t="shared" si="9"/>
        <v>3353.764028531257</v>
      </c>
    </row>
    <row r="111" spans="1:8" ht="12">
      <c r="A111" s="25">
        <v>5</v>
      </c>
      <c r="B111" s="52">
        <f t="shared" si="10"/>
        <v>1.2927349072248417</v>
      </c>
      <c r="C111" s="28">
        <f t="shared" si="7"/>
        <v>94.59338557719938</v>
      </c>
      <c r="D111" s="45"/>
      <c r="E111" s="41">
        <f aca="true" t="shared" si="12" ref="E111:E118">10^(0.338+0.6386*LOG($F92)+0.2961*(LOG($F92))^2)</f>
        <v>18.715183307123844</v>
      </c>
      <c r="F111" s="64">
        <f>1-0.1359*LOG($E$61/$F92)</f>
        <v>0.866952003548777</v>
      </c>
      <c r="G111" s="41">
        <f t="shared" si="8"/>
        <v>87.93933646770506</v>
      </c>
      <c r="H111" s="42">
        <f t="shared" si="9"/>
        <v>4608.900624272422</v>
      </c>
    </row>
    <row r="112" spans="1:8" ht="12">
      <c r="A112" s="25">
        <v>6</v>
      </c>
      <c r="B112" s="52">
        <f>0.5927+0.4355*$E93^-0.5-7.201*10^-5*$E93+3.503*10^-6*$E93^2</f>
        <v>1.2800396821693116</v>
      </c>
      <c r="C112" s="28">
        <f t="shared" si="7"/>
        <v>105.30097677827672</v>
      </c>
      <c r="D112" s="45"/>
      <c r="E112" s="41">
        <f>10^(0.338+0.6386*LOG($F93)+0.2961*(LOG($F93))^2)</f>
        <v>17.894547903325684</v>
      </c>
      <c r="F112" s="64">
        <f>1-0.1359*LOG($E$61/$F93)</f>
        <v>0.8691108506758638</v>
      </c>
      <c r="G112" s="41">
        <f t="shared" si="8"/>
        <v>84.29269654816554</v>
      </c>
      <c r="H112" s="42">
        <f t="shared" si="9"/>
        <v>4991.813489582363</v>
      </c>
    </row>
    <row r="113" spans="1:8" ht="12">
      <c r="A113" s="25">
        <v>7</v>
      </c>
      <c r="B113" s="52">
        <f t="shared" si="10"/>
        <v>1.269129582488885</v>
      </c>
      <c r="C113" s="28">
        <f t="shared" si="7"/>
        <v>91.96305682054366</v>
      </c>
      <c r="D113" s="45"/>
      <c r="E113" s="41">
        <f t="shared" si="12"/>
        <v>17.211508011915978</v>
      </c>
      <c r="F113" s="64">
        <f>1-0.1359*LOG($E$61/$F94)</f>
        <v>0.8709981849391478</v>
      </c>
      <c r="G113" s="41">
        <f t="shared" si="8"/>
        <v>81.25128122180277</v>
      </c>
      <c r="H113" s="42">
        <f t="shared" si="9"/>
        <v>4258.3796488346825</v>
      </c>
    </row>
    <row r="114" spans="1:8" ht="12">
      <c r="A114" s="25">
        <v>8</v>
      </c>
      <c r="B114" s="52">
        <f t="shared" si="10"/>
        <v>1.2596493894999388</v>
      </c>
      <c r="C114" s="28">
        <f t="shared" si="7"/>
        <v>62.942365136040515</v>
      </c>
      <c r="D114" s="45"/>
      <c r="E114" s="41">
        <f>10^(0.338+0.6386*LOG($F95)+0.2961*(LOG($F95))^2)</f>
        <v>16.634303823334413</v>
      </c>
      <c r="F114" s="64">
        <f>1-0.1359*LOG($E$61/$F95)</f>
        <v>0.8726630047883307</v>
      </c>
      <c r="G114" s="41">
        <f t="shared" si="8"/>
        <v>78.67653760594936</v>
      </c>
      <c r="H114" s="42">
        <f t="shared" si="9"/>
        <v>2855.9583150959616</v>
      </c>
    </row>
    <row r="115" spans="1:8" ht="12">
      <c r="A115" s="25">
        <v>9</v>
      </c>
      <c r="B115" s="52">
        <f t="shared" si="10"/>
        <v>1.251332930284296</v>
      </c>
      <c r="C115" s="28">
        <f t="shared" si="7"/>
        <v>33.70904648810722</v>
      </c>
      <c r="D115" s="45"/>
      <c r="E115" s="41">
        <f t="shared" si="12"/>
        <v>16.14021561638607</v>
      </c>
      <c r="F115" s="64">
        <f t="shared" si="11"/>
        <v>0.8741430310345264</v>
      </c>
      <c r="G115" s="41">
        <f t="shared" si="8"/>
        <v>76.46908195351176</v>
      </c>
      <c r="H115" s="42">
        <f t="shared" si="9"/>
        <v>1502.617460386506</v>
      </c>
    </row>
    <row r="116" spans="1:8" ht="12">
      <c r="A116" s="25">
        <v>10</v>
      </c>
      <c r="B116" s="52">
        <f t="shared" si="10"/>
        <v>1.2439766680512445</v>
      </c>
      <c r="C116" s="28">
        <f t="shared" si="7"/>
        <v>14.219802426732583</v>
      </c>
      <c r="D116" s="45"/>
      <c r="E116" s="41">
        <f t="shared" si="12"/>
        <v>15.712570136476275</v>
      </c>
      <c r="F116" s="64">
        <f t="shared" si="11"/>
        <v>0.8754678109708189</v>
      </c>
      <c r="G116" s="41">
        <f t="shared" si="8"/>
        <v>74.55580375548986</v>
      </c>
      <c r="H116" s="42">
        <f t="shared" si="9"/>
        <v>624.0320774334501</v>
      </c>
    </row>
    <row r="117" spans="1:9" ht="12">
      <c r="A117" s="25">
        <v>11</v>
      </c>
      <c r="B117" s="52">
        <f t="shared" si="10"/>
        <v>1.2374222059755395</v>
      </c>
      <c r="C117" s="28">
        <f t="shared" si="7"/>
        <v>4.647701931265358</v>
      </c>
      <c r="D117" s="45"/>
      <c r="E117" s="41">
        <f t="shared" si="12"/>
        <v>15.338860009189403</v>
      </c>
      <c r="F117" s="64">
        <f t="shared" si="11"/>
        <v>0.8766608412327154</v>
      </c>
      <c r="G117" s="41">
        <f t="shared" si="8"/>
        <v>72.88174063267304</v>
      </c>
      <c r="H117" s="42">
        <f t="shared" si="9"/>
        <v>201.15360414617757</v>
      </c>
      <c r="I117" s="40"/>
    </row>
    <row r="118" spans="1:11" ht="12">
      <c r="A118" s="25">
        <v>12</v>
      </c>
      <c r="B118" s="52">
        <f t="shared" si="10"/>
        <v>1.2315443695919726</v>
      </c>
      <c r="C118" s="28">
        <f t="shared" si="7"/>
        <v>1.5033513018192737</v>
      </c>
      <c r="D118" s="45"/>
      <c r="E118" s="41">
        <f t="shared" si="12"/>
        <v>15.00952243450115</v>
      </c>
      <c r="F118" s="64">
        <f t="shared" si="11"/>
        <v>0.8777410559589164</v>
      </c>
      <c r="G118" s="41">
        <f t="shared" si="8"/>
        <v>71.40478760288485</v>
      </c>
      <c r="H118" s="42">
        <f t="shared" si="9"/>
        <v>64.26430884259636</v>
      </c>
      <c r="I118" s="35" t="s">
        <v>328</v>
      </c>
      <c r="J118" s="35"/>
      <c r="K118" s="35"/>
    </row>
    <row r="119" spans="3:11" ht="14.25">
      <c r="C119" s="28">
        <f>SUM(C106:C118)</f>
        <v>535.5602170309477</v>
      </c>
      <c r="H119" s="42">
        <f>SUM(H106:H118)</f>
        <v>25695.49032189015</v>
      </c>
      <c r="I119" s="38">
        <f>$H$119/$C$14</f>
        <v>85.6516344063005</v>
      </c>
      <c r="J119" s="35" t="s">
        <v>321</v>
      </c>
      <c r="K119" s="35"/>
    </row>
    <row r="121" s="14" customFormat="1" ht="18.75">
      <c r="B121" s="5" t="s">
        <v>249</v>
      </c>
    </row>
    <row r="122" spans="6:11" ht="12">
      <c r="F122" s="35" t="s">
        <v>329</v>
      </c>
      <c r="G122" s="35" t="s">
        <v>330</v>
      </c>
      <c r="H122" s="35" t="s">
        <v>331</v>
      </c>
      <c r="I122" s="35" t="s">
        <v>332</v>
      </c>
      <c r="J122" s="35"/>
      <c r="K122" s="35"/>
    </row>
    <row r="123" spans="2:11" ht="13.5">
      <c r="B123" s="25" t="s">
        <v>127</v>
      </c>
      <c r="C123" s="25" t="s">
        <v>128</v>
      </c>
      <c r="D123" s="25" t="s">
        <v>129</v>
      </c>
      <c r="E123" s="25" t="s">
        <v>129</v>
      </c>
      <c r="F123" s="37" t="s">
        <v>333</v>
      </c>
      <c r="G123" s="35" t="s">
        <v>334</v>
      </c>
      <c r="H123" s="35" t="s">
        <v>335</v>
      </c>
      <c r="I123" s="37" t="s">
        <v>336</v>
      </c>
      <c r="J123" s="35"/>
      <c r="K123" s="35"/>
    </row>
    <row r="124" spans="2:11" ht="12">
      <c r="B124" s="25" t="s">
        <v>130</v>
      </c>
      <c r="C124" s="25" t="s">
        <v>131</v>
      </c>
      <c r="D124" s="25" t="s">
        <v>132</v>
      </c>
      <c r="E124" s="25" t="s">
        <v>131</v>
      </c>
      <c r="F124" s="35"/>
      <c r="G124" s="35"/>
      <c r="H124" s="35"/>
      <c r="I124" s="35"/>
      <c r="J124" s="35"/>
      <c r="K124" s="35"/>
    </row>
    <row r="125" spans="2:11" s="54" customFormat="1" ht="15">
      <c r="B125" s="54" t="s">
        <v>133</v>
      </c>
      <c r="C125" s="54" t="s">
        <v>134</v>
      </c>
      <c r="D125" s="54" t="s">
        <v>135</v>
      </c>
      <c r="E125" s="54" t="s">
        <v>136</v>
      </c>
      <c r="F125" s="83" t="s">
        <v>337</v>
      </c>
      <c r="G125" s="83" t="s">
        <v>338</v>
      </c>
      <c r="H125" s="83" t="s">
        <v>338</v>
      </c>
      <c r="I125" s="83" t="s">
        <v>338</v>
      </c>
      <c r="J125" s="83"/>
      <c r="K125" s="83"/>
    </row>
    <row r="126" spans="2:11" ht="14.25">
      <c r="B126" s="54" t="s">
        <v>94</v>
      </c>
      <c r="C126" s="54" t="s">
        <v>23</v>
      </c>
      <c r="D126" s="54" t="s">
        <v>94</v>
      </c>
      <c r="E126" s="54" t="s">
        <v>23</v>
      </c>
      <c r="F126" s="111">
        <f>$C$9*$I$188</f>
        <v>0.0018673118337283606</v>
      </c>
      <c r="G126" s="91">
        <f>$D$127*$F$126/$C$14</f>
        <v>0.31646539364241055</v>
      </c>
      <c r="H126" s="91">
        <f>$E$127/$C$14</f>
        <v>0.08348809165547863</v>
      </c>
      <c r="I126" s="91">
        <f>$G$126+$H$126</f>
        <v>0.3999534852978892</v>
      </c>
      <c r="J126" s="35"/>
      <c r="K126" s="35"/>
    </row>
    <row r="127" spans="2:11" ht="13.5">
      <c r="B127" s="46">
        <f>($C$71+$C$62+$D$80)*$C$14</f>
        <v>37901.870971681354</v>
      </c>
      <c r="C127" s="52">
        <f>2*($J$16-1)*$J$11*$C$14*LN(($C$63*$C$58)/($C$72*$C$67))</f>
        <v>4.3100826253208675</v>
      </c>
      <c r="D127" s="46">
        <f>$I$100+$E$62*$C$14+$H$119</f>
        <v>50842.937091638494</v>
      </c>
      <c r="E127" s="42">
        <f>2*($J$16-1)*$J$11*$C$119</f>
        <v>25.046427496643588</v>
      </c>
      <c r="F127" s="33" t="s">
        <v>339</v>
      </c>
      <c r="G127" s="83" t="s">
        <v>340</v>
      </c>
      <c r="H127" s="83" t="s">
        <v>341</v>
      </c>
      <c r="I127" s="33" t="s">
        <v>342</v>
      </c>
      <c r="J127" s="35"/>
      <c r="K127" s="35"/>
    </row>
    <row r="128" spans="2:11" ht="12">
      <c r="B128" s="42"/>
      <c r="C128" s="42"/>
      <c r="D128" s="42"/>
      <c r="E128" s="42"/>
      <c r="F128" s="35"/>
      <c r="G128" s="35"/>
      <c r="H128" s="35"/>
      <c r="I128" s="35"/>
      <c r="J128" s="35"/>
      <c r="K128" s="35"/>
    </row>
    <row r="129" spans="6:11" ht="14.25">
      <c r="F129" s="83" t="s">
        <v>337</v>
      </c>
      <c r="G129" s="83" t="s">
        <v>338</v>
      </c>
      <c r="H129" s="83" t="s">
        <v>338</v>
      </c>
      <c r="I129" s="83" t="s">
        <v>338</v>
      </c>
      <c r="J129" s="35" t="s">
        <v>343</v>
      </c>
      <c r="K129" s="35"/>
    </row>
    <row r="130" spans="6:11" ht="14.25">
      <c r="F130" s="111">
        <f>$C$9*$J$188</f>
        <v>0.0030519855616223807</v>
      </c>
      <c r="G130" s="91">
        <f>$B$127*$F$130/$C$14</f>
        <v>0.3855865432134864</v>
      </c>
      <c r="H130" s="91">
        <f>$C$127/$C$14</f>
        <v>0.014366942084402892</v>
      </c>
      <c r="I130" s="91">
        <f>$G$130+$H$130</f>
        <v>0.39995348529788927</v>
      </c>
      <c r="J130" s="92">
        <f>($I$130*$C$19/$C$45)*(1000000/(3600*1000))</f>
        <v>0.055804515124987006</v>
      </c>
      <c r="K130" s="35" t="s">
        <v>344</v>
      </c>
    </row>
    <row r="131" spans="7:10" ht="12">
      <c r="G131" s="53"/>
      <c r="H131" s="52"/>
      <c r="I131" s="52"/>
      <c r="J131" s="64"/>
    </row>
    <row r="132" spans="2:9" s="54" customFormat="1" ht="13.5">
      <c r="B132" s="54" t="s">
        <v>138</v>
      </c>
      <c r="C132" s="54" t="s">
        <v>139</v>
      </c>
      <c r="D132" s="54" t="s">
        <v>140</v>
      </c>
      <c r="E132" s="54" t="s">
        <v>141</v>
      </c>
      <c r="F132" s="54" t="s">
        <v>142</v>
      </c>
      <c r="G132" s="54" t="s">
        <v>143</v>
      </c>
      <c r="H132" s="54" t="s">
        <v>144</v>
      </c>
      <c r="I132" s="54" t="s">
        <v>145</v>
      </c>
    </row>
    <row r="133" spans="3:9" ht="12">
      <c r="C133" s="44"/>
      <c r="D133" s="44"/>
      <c r="E133" s="44"/>
      <c r="F133" s="44"/>
      <c r="H133" s="70"/>
      <c r="I133" s="44"/>
    </row>
    <row r="134" spans="2:9" s="54" customFormat="1" ht="14.25">
      <c r="B134" s="54" t="s">
        <v>11</v>
      </c>
      <c r="C134" s="54" t="s">
        <v>137</v>
      </c>
      <c r="D134" s="54" t="s">
        <v>137</v>
      </c>
      <c r="E134" s="54" t="s">
        <v>137</v>
      </c>
      <c r="F134" s="54" t="s">
        <v>137</v>
      </c>
      <c r="G134" s="54" t="s">
        <v>137</v>
      </c>
      <c r="H134" s="54" t="s">
        <v>137</v>
      </c>
      <c r="I134" s="54" t="s">
        <v>137</v>
      </c>
    </row>
    <row r="135" spans="2:9" s="74" customFormat="1" ht="12">
      <c r="B135" s="75">
        <f>$D$127/$B$127</f>
        <v>1.341436076589099</v>
      </c>
      <c r="C135" s="74">
        <f>-($C$127-$E$127)/$B$127</f>
        <v>0.0005471061016174116</v>
      </c>
      <c r="D135" s="74">
        <f>$C$9-$C$135</f>
        <v>0.0019623938983825886</v>
      </c>
      <c r="E135" s="60">
        <f>-2*(3*$C$9-2*$C$135)</f>
        <v>-0.012868575593530353</v>
      </c>
      <c r="F135" s="74">
        <f>3*(2*$C$9-$C$135)</f>
        <v>0.013415681695147764</v>
      </c>
      <c r="G135" s="74">
        <f>$B$135*$C$9</f>
        <v>0.003366333834200344</v>
      </c>
      <c r="H135" s="60">
        <f>-2*(2*$B$135+1)*$C$9</f>
        <v>-0.018484335336801376</v>
      </c>
      <c r="I135" s="74">
        <f>3*($B$135+1)*$C$9</f>
        <v>0.01762750150260103</v>
      </c>
    </row>
    <row r="136" spans="3:10" ht="12">
      <c r="C136" s="53"/>
      <c r="D136" s="53"/>
      <c r="E136" s="37"/>
      <c r="F136" s="35"/>
      <c r="G136" s="35"/>
      <c r="H136" s="37"/>
      <c r="I136" s="36"/>
      <c r="J136" s="35"/>
    </row>
    <row r="137" spans="2:10" s="14" customFormat="1" ht="18.75">
      <c r="B137" s="5" t="s">
        <v>250</v>
      </c>
      <c r="H137" s="37"/>
      <c r="I137" s="50"/>
      <c r="J137" s="35"/>
    </row>
    <row r="138" ht="12">
      <c r="B138" s="25" t="s">
        <v>146</v>
      </c>
    </row>
    <row r="139" spans="2:9" s="54" customFormat="1" ht="13.5">
      <c r="B139" s="68" t="s">
        <v>109</v>
      </c>
      <c r="C139" s="68" t="s">
        <v>147</v>
      </c>
      <c r="D139" s="69" t="s">
        <v>148</v>
      </c>
      <c r="E139" s="69" t="s">
        <v>149</v>
      </c>
      <c r="F139" s="68" t="s">
        <v>150</v>
      </c>
      <c r="G139" s="68" t="s">
        <v>151</v>
      </c>
      <c r="H139" s="68" t="s">
        <v>115</v>
      </c>
      <c r="I139" s="68" t="s">
        <v>152</v>
      </c>
    </row>
    <row r="140" spans="2:9" s="54" customFormat="1" ht="14.25">
      <c r="B140" s="54" t="s">
        <v>11</v>
      </c>
      <c r="C140" s="54" t="s">
        <v>46</v>
      </c>
      <c r="D140" s="76" t="s">
        <v>153</v>
      </c>
      <c r="E140" s="76" t="s">
        <v>90</v>
      </c>
      <c r="F140" s="54" t="s">
        <v>92</v>
      </c>
      <c r="G140" s="54" t="s">
        <v>94</v>
      </c>
      <c r="I140" s="54" t="s">
        <v>94</v>
      </c>
    </row>
    <row r="141" spans="1:9" ht="12">
      <c r="A141" s="25">
        <v>0</v>
      </c>
      <c r="B141" s="25">
        <f>-3*$C$6</f>
        <v>-0.30000000000000004</v>
      </c>
      <c r="C141" s="60">
        <f aca="true" t="shared" si="13" ref="C141:C153">($C$27-(($C$43*$C$17)/($C$15*$J$10))*($F$188*$B$188+($G$188/2)*$B$188^2+($H$188/3)*$B$188^3)/($C$48*($B141+1)))*10^3</f>
        <v>0.007721791173847136</v>
      </c>
      <c r="D141" s="77">
        <f>57.87*$C141</f>
        <v>0.44686005523053374</v>
      </c>
      <c r="E141" s="75">
        <f aca="true" t="shared" si="14" ref="E141:E153">(($L$35^2+4*$L$34*$D141)^0.5-$L$35)/(2*$L$34)</f>
        <v>0.4484337930391497</v>
      </c>
      <c r="F141" s="61">
        <f aca="true" t="shared" si="15" ref="F141:F153">(0.9383+3.463*10^-2*$J$9)*10^-3*$E141-(1.655+3.863*10^-2*$J$9)*10^-6*$E141^2-(1.344+3.16*10^-2*$J$9)*10^-9*$E141^3</f>
        <v>0.0008084697777644005</v>
      </c>
      <c r="G141" s="41">
        <f aca="true" t="shared" si="16" ref="G141:G153">$C$15/((1-$C$22)*$F141)</f>
        <v>66.90129252056462</v>
      </c>
      <c r="H141" s="25">
        <f>3*$C$12/1000</f>
        <v>0.9</v>
      </c>
      <c r="I141" s="42">
        <f aca="true" t="shared" si="17" ref="I141:I153">$H141*$G141</f>
        <v>60.211163268508166</v>
      </c>
    </row>
    <row r="142" spans="1:9" ht="12">
      <c r="A142" s="25">
        <v>1</v>
      </c>
      <c r="B142" s="25">
        <f>$B$87-$A142*($B$87/6)</f>
        <v>-0.25000000000000006</v>
      </c>
      <c r="C142" s="60">
        <f t="shared" si="13"/>
        <v>0.007982531762257328</v>
      </c>
      <c r="D142" s="77">
        <f>57.87*$C142</f>
        <v>0.46194911308183156</v>
      </c>
      <c r="E142" s="75">
        <f t="shared" si="14"/>
        <v>0.4635706428048681</v>
      </c>
      <c r="F142" s="61">
        <f t="shared" si="15"/>
        <v>0.0008357412123080501</v>
      </c>
      <c r="G142" s="41">
        <f t="shared" si="16"/>
        <v>64.71820738249723</v>
      </c>
      <c r="H142" s="25">
        <f>9.2*$C$12/1000</f>
        <v>2.76</v>
      </c>
      <c r="I142" s="42">
        <f t="shared" si="17"/>
        <v>178.62225237569234</v>
      </c>
    </row>
    <row r="143" spans="1:9" ht="12">
      <c r="A143" s="25">
        <v>2</v>
      </c>
      <c r="B143" s="25">
        <f aca="true" t="shared" si="18" ref="B143:B153">$B$87-$A143*($B$87/6)</f>
        <v>-0.2</v>
      </c>
      <c r="C143" s="60">
        <f t="shared" si="13"/>
        <v>0.008210679777116245</v>
      </c>
      <c r="D143" s="77">
        <f>57.87*$C143</f>
        <v>0.47515203870171707</v>
      </c>
      <c r="E143" s="75">
        <f t="shared" si="14"/>
        <v>0.47681509994907995</v>
      </c>
      <c r="F143" s="61">
        <f t="shared" si="15"/>
        <v>0.0008596022152964287</v>
      </c>
      <c r="G143" s="41">
        <f t="shared" si="16"/>
        <v>62.92174698223669</v>
      </c>
      <c r="H143" s="25">
        <f>27.9*$C$12/1000</f>
        <v>8.37</v>
      </c>
      <c r="I143" s="42">
        <f t="shared" si="17"/>
        <v>526.655022241321</v>
      </c>
    </row>
    <row r="144" spans="1:9" ht="12">
      <c r="A144" s="25">
        <v>3</v>
      </c>
      <c r="B144" s="25">
        <f t="shared" si="18"/>
        <v>-0.15000000000000002</v>
      </c>
      <c r="C144" s="60">
        <f t="shared" si="13"/>
        <v>0.008411986849050583</v>
      </c>
      <c r="D144" s="77">
        <f aca="true" t="shared" si="19" ref="D144:D153">57.87*$C144</f>
        <v>0.4868016789545572</v>
      </c>
      <c r="E144" s="75">
        <f t="shared" si="14"/>
        <v>0.488501163692799</v>
      </c>
      <c r="F144" s="61">
        <f t="shared" si="15"/>
        <v>0.0008806548771450849</v>
      </c>
      <c r="G144" s="41">
        <f t="shared" si="16"/>
        <v>61.41755925044548</v>
      </c>
      <c r="H144" s="25">
        <f>65.5*$C$12/1000</f>
        <v>19.65</v>
      </c>
      <c r="I144" s="42">
        <f t="shared" si="17"/>
        <v>1206.8550392712536</v>
      </c>
    </row>
    <row r="145" spans="1:9" ht="12">
      <c r="A145" s="25">
        <v>4</v>
      </c>
      <c r="B145" s="25">
        <f t="shared" si="18"/>
        <v>-0.1</v>
      </c>
      <c r="C145" s="60">
        <f t="shared" si="13"/>
        <v>0.008590926468547772</v>
      </c>
      <c r="D145" s="77">
        <f>57.87*$C145</f>
        <v>0.49715691473485957</v>
      </c>
      <c r="E145" s="75">
        <f t="shared" si="14"/>
        <v>0.498888601218778</v>
      </c>
      <c r="F145" s="61">
        <f t="shared" si="15"/>
        <v>0.0008993674380147657</v>
      </c>
      <c r="G145" s="41">
        <f t="shared" si="16"/>
        <v>60.13968352650547</v>
      </c>
      <c r="H145" s="25">
        <f>121*$C$12/1000</f>
        <v>36.3</v>
      </c>
      <c r="I145" s="42">
        <f t="shared" si="17"/>
        <v>2183.0705120121484</v>
      </c>
    </row>
    <row r="146" spans="1:9" ht="12">
      <c r="A146" s="25">
        <v>5</v>
      </c>
      <c r="B146" s="25">
        <f t="shared" si="18"/>
        <v>-0.04999999999999999</v>
      </c>
      <c r="C146" s="60">
        <f t="shared" si="13"/>
        <v>0.008751030338624207</v>
      </c>
      <c r="D146" s="77">
        <f>57.87*$C146</f>
        <v>0.5064221256961828</v>
      </c>
      <c r="E146" s="75">
        <f t="shared" si="14"/>
        <v>0.508182484909662</v>
      </c>
      <c r="F146" s="61">
        <f t="shared" si="15"/>
        <v>0.0009161095246251657</v>
      </c>
      <c r="G146" s="41">
        <f t="shared" si="16"/>
        <v>59.040618662252726</v>
      </c>
      <c r="H146" s="25">
        <f>174.7*$C$12/1000</f>
        <v>52.41</v>
      </c>
      <c r="I146" s="42">
        <f t="shared" si="17"/>
        <v>3094.318824088665</v>
      </c>
    </row>
    <row r="147" spans="1:9" ht="12">
      <c r="A147" s="25">
        <v>6</v>
      </c>
      <c r="B147" s="25">
        <f t="shared" si="18"/>
        <v>0</v>
      </c>
      <c r="C147" s="60">
        <f t="shared" si="13"/>
        <v>0.008895123821692996</v>
      </c>
      <c r="D147" s="77">
        <f t="shared" si="19"/>
        <v>0.5147608155613737</v>
      </c>
      <c r="E147" s="75">
        <f t="shared" si="14"/>
        <v>0.516546867704098</v>
      </c>
      <c r="F147" s="61">
        <f t="shared" si="15"/>
        <v>0.0009311768123003968</v>
      </c>
      <c r="G147" s="41">
        <f t="shared" si="16"/>
        <v>58.08528775822158</v>
      </c>
      <c r="H147" s="25">
        <f>197.4*$C$12/1000</f>
        <v>59.22</v>
      </c>
      <c r="I147" s="42">
        <f t="shared" si="17"/>
        <v>3439.810741041882</v>
      </c>
    </row>
    <row r="148" spans="1:9" ht="12">
      <c r="A148" s="25">
        <v>7</v>
      </c>
      <c r="B148" s="25">
        <f t="shared" si="18"/>
        <v>0.050000000000000044</v>
      </c>
      <c r="C148" s="60">
        <f t="shared" si="13"/>
        <v>0.009025494115898092</v>
      </c>
      <c r="D148" s="77">
        <f t="shared" si="19"/>
        <v>0.5223053444870226</v>
      </c>
      <c r="E148" s="75">
        <f t="shared" si="14"/>
        <v>0.5241145507577376</v>
      </c>
      <c r="F148" s="61">
        <f t="shared" si="15"/>
        <v>0.0009448086383525002</v>
      </c>
      <c r="G148" s="41">
        <f t="shared" si="16"/>
        <v>57.2472254175902</v>
      </c>
      <c r="H148" s="25">
        <f>174.7*$C$12/1000</f>
        <v>52.41</v>
      </c>
      <c r="I148" s="42">
        <f t="shared" si="17"/>
        <v>3000.327084135902</v>
      </c>
    </row>
    <row r="149" spans="1:9" ht="12">
      <c r="A149" s="25">
        <v>8</v>
      </c>
      <c r="B149" s="25">
        <f t="shared" si="18"/>
        <v>0.10000000000000003</v>
      </c>
      <c r="C149" s="60">
        <f t="shared" si="13"/>
        <v>0.009144012565175452</v>
      </c>
      <c r="D149" s="77">
        <f t="shared" si="19"/>
        <v>0.5291640071467033</v>
      </c>
      <c r="E149" s="75">
        <f t="shared" si="14"/>
        <v>0.5309941869035774</v>
      </c>
      <c r="F149" s="61">
        <f t="shared" si="15"/>
        <v>0.0009572008102770406</v>
      </c>
      <c r="G149" s="41">
        <f t="shared" si="16"/>
        <v>56.506087871569555</v>
      </c>
      <c r="H149" s="25">
        <f>121*$C$12/1000</f>
        <v>36.3</v>
      </c>
      <c r="I149" s="42">
        <f t="shared" si="17"/>
        <v>2051.1709897379747</v>
      </c>
    </row>
    <row r="150" spans="1:10" ht="12">
      <c r="A150" s="25">
        <v>9</v>
      </c>
      <c r="B150" s="25">
        <f t="shared" si="18"/>
        <v>0.15000000000000002</v>
      </c>
      <c r="C150" s="60">
        <f t="shared" si="13"/>
        <v>0.009252225062341734</v>
      </c>
      <c r="D150" s="77">
        <f t="shared" si="19"/>
        <v>0.5354262643577161</v>
      </c>
      <c r="E150" s="75">
        <f t="shared" si="14"/>
        <v>0.5372755308394861</v>
      </c>
      <c r="F150" s="61">
        <f t="shared" si="15"/>
        <v>0.0009685150716549146</v>
      </c>
      <c r="G150" s="41">
        <f t="shared" si="16"/>
        <v>55.84597976759588</v>
      </c>
      <c r="H150" s="25">
        <f>65.5*$C$12/1000</f>
        <v>19.65</v>
      </c>
      <c r="I150" s="42">
        <f t="shared" si="17"/>
        <v>1097.3735024332589</v>
      </c>
      <c r="J150" s="40"/>
    </row>
    <row r="151" spans="1:9" ht="12">
      <c r="A151" s="25">
        <v>10</v>
      </c>
      <c r="B151" s="25">
        <f t="shared" si="18"/>
        <v>0.20000000000000007</v>
      </c>
      <c r="C151" s="60">
        <f t="shared" si="13"/>
        <v>0.00935141985141083</v>
      </c>
      <c r="D151" s="77">
        <f t="shared" si="19"/>
        <v>0.5411666668011448</v>
      </c>
      <c r="E151" s="75">
        <f t="shared" si="14"/>
        <v>0.5430333766377295</v>
      </c>
      <c r="F151" s="61">
        <f t="shared" si="15"/>
        <v>0.000978886200886403</v>
      </c>
      <c r="G151" s="41">
        <f t="shared" si="16"/>
        <v>55.25430131436571</v>
      </c>
      <c r="H151" s="25">
        <f>27.9*$C$12/1000</f>
        <v>8.37</v>
      </c>
      <c r="I151" s="42">
        <f t="shared" si="17"/>
        <v>462.47850200124094</v>
      </c>
    </row>
    <row r="152" spans="1:9" ht="12">
      <c r="A152" s="25">
        <v>11</v>
      </c>
      <c r="B152" s="25">
        <f t="shared" si="18"/>
        <v>0.2500000000000001</v>
      </c>
      <c r="C152" s="60">
        <f t="shared" si="13"/>
        <v>0.009442679057354396</v>
      </c>
      <c r="D152" s="77">
        <f t="shared" si="19"/>
        <v>0.5464478370490989</v>
      </c>
      <c r="E152" s="75">
        <f t="shared" si="14"/>
        <v>0.5483305501598266</v>
      </c>
      <c r="F152" s="61">
        <f t="shared" si="15"/>
        <v>0.0009884274057473871</v>
      </c>
      <c r="G152" s="41">
        <f t="shared" si="16"/>
        <v>54.72093628904827</v>
      </c>
      <c r="H152" s="25">
        <f>9.2*$C$12/1000</f>
        <v>2.76</v>
      </c>
      <c r="I152" s="42">
        <f t="shared" si="17"/>
        <v>151.0297841577732</v>
      </c>
    </row>
    <row r="153" spans="1:11" ht="12">
      <c r="A153" s="25">
        <v>12</v>
      </c>
      <c r="B153" s="25">
        <f t="shared" si="18"/>
        <v>0.30000000000000004</v>
      </c>
      <c r="C153" s="60">
        <f t="shared" si="13"/>
        <v>0.009526918324379227</v>
      </c>
      <c r="D153" s="77">
        <f t="shared" si="19"/>
        <v>0.5513227634318258</v>
      </c>
      <c r="E153" s="75">
        <f t="shared" si="14"/>
        <v>0.5532202108494594</v>
      </c>
      <c r="F153" s="61">
        <f t="shared" si="15"/>
        <v>0.0009972344727099715</v>
      </c>
      <c r="G153" s="41">
        <f t="shared" si="16"/>
        <v>54.237668849603146</v>
      </c>
      <c r="H153" s="25">
        <f>3*$C$12/1000</f>
        <v>0.9</v>
      </c>
      <c r="I153" s="42">
        <f t="shared" si="17"/>
        <v>48.81390196464283</v>
      </c>
      <c r="J153" s="35" t="s">
        <v>345</v>
      </c>
      <c r="K153" s="35"/>
    </row>
    <row r="154" spans="2:11" ht="15">
      <c r="B154" s="33" t="s">
        <v>154</v>
      </c>
      <c r="C154" s="66">
        <f>($C$141*$H$141+$C$142*$H$142+$C$143*$H$143+$C$144*$H$144+$C$145*$H$145+$C$146*$H$146+$C$147*$H$147+$C$148*$H$148+$C$149*$H$149+$C$150*$H$150+$C$151*$H$151+$C$152*$H$152+$C$153*$H$153)*10^-3/$C$14</f>
        <v>8.866430415554963E-06</v>
      </c>
      <c r="D154" s="75"/>
      <c r="E154" s="77">
        <f>($E$141*$H$141+$E$142*$H$142+$E$143*$H$143+$E$144*$H$144+$E$145*$H$145+$E$146*$H$146+$E$147*$H$147+$E$148*$H$148+$E$149*$H$149+$E$150*$H$150+$E$151*$H$151+$E$152*$H$152+$E$153*$H$153)/$C$14</f>
        <v>0.5148810601542664</v>
      </c>
      <c r="F154" s="78" t="s">
        <v>155</v>
      </c>
      <c r="G154" s="55"/>
      <c r="H154" s="25">
        <f>SUM(H141:H153)</f>
        <v>299.99999999999994</v>
      </c>
      <c r="I154" s="42">
        <f>SUM(I141:I153)</f>
        <v>17500.73731873027</v>
      </c>
      <c r="J154" s="38">
        <f>$I$154/$C$14</f>
        <v>58.33579106243423</v>
      </c>
      <c r="K154" s="35" t="s">
        <v>297</v>
      </c>
    </row>
    <row r="155" spans="2:8" ht="14.25">
      <c r="B155" s="69"/>
      <c r="C155" s="76" t="s">
        <v>45</v>
      </c>
      <c r="D155" s="26"/>
      <c r="E155" s="54" t="s">
        <v>90</v>
      </c>
      <c r="H155" s="76"/>
    </row>
    <row r="156" spans="2:4" ht="12">
      <c r="B156" s="69"/>
      <c r="C156" s="26"/>
      <c r="D156" s="26"/>
    </row>
    <row r="157" spans="2:5" ht="12">
      <c r="B157" s="25" t="s">
        <v>156</v>
      </c>
      <c r="E157" s="25" t="s">
        <v>157</v>
      </c>
    </row>
    <row r="158" spans="2:8" s="54" customFormat="1" ht="15">
      <c r="B158" s="68" t="s">
        <v>158</v>
      </c>
      <c r="C158" s="68" t="s">
        <v>159</v>
      </c>
      <c r="D158" s="71"/>
      <c r="E158" s="68" t="s">
        <v>160</v>
      </c>
      <c r="F158" s="68" t="s">
        <v>161</v>
      </c>
      <c r="G158" s="68" t="s">
        <v>162</v>
      </c>
      <c r="H158" s="68" t="s">
        <v>163</v>
      </c>
    </row>
    <row r="159" spans="2:8" s="54" customFormat="1" ht="13.5">
      <c r="B159" s="54" t="s">
        <v>11</v>
      </c>
      <c r="C159" s="54" t="s">
        <v>164</v>
      </c>
      <c r="D159" s="72"/>
      <c r="E159" s="68"/>
      <c r="H159" s="79"/>
    </row>
    <row r="160" spans="3:8" s="54" customFormat="1" ht="14.25">
      <c r="C160" s="68"/>
      <c r="D160" s="72"/>
      <c r="E160" s="54" t="s">
        <v>11</v>
      </c>
      <c r="F160" s="54" t="s">
        <v>11</v>
      </c>
      <c r="G160" s="54" t="s">
        <v>94</v>
      </c>
      <c r="H160" s="54" t="s">
        <v>94</v>
      </c>
    </row>
    <row r="161" spans="1:8" ht="12">
      <c r="A161" s="25">
        <v>0</v>
      </c>
      <c r="B161" s="52">
        <f>0.5927+0.4355*$E141^-0.5-7.201*10^-5*$E141+3.503*10^-6*$E141^2</f>
        <v>1.2430062059469462</v>
      </c>
      <c r="C161" s="28">
        <f>$H141*LN(($D$63*$D$58)/($B161*$C141))</f>
        <v>1.1975375630709963</v>
      </c>
      <c r="D161" s="45"/>
      <c r="E161" s="41">
        <f>10^(0.338+0.6386*LOG($F141)+0.2961*(LOG($F141))^2)</f>
        <v>15.656805218640418</v>
      </c>
      <c r="F161" s="64">
        <f>1-0.1359*LOG($D$61/$F141)</f>
        <v>0.9008664011538151</v>
      </c>
      <c r="G161" s="42">
        <f aca="true" t="shared" si="20" ref="G161:G173">$E161*$F161*$J$18</f>
        <v>76.44649584182822</v>
      </c>
      <c r="H161" s="42">
        <f aca="true" t="shared" si="21" ref="H161:H173">$H141*$G161</f>
        <v>68.80184625764541</v>
      </c>
    </row>
    <row r="162" spans="1:8" ht="12">
      <c r="A162" s="25">
        <v>1</v>
      </c>
      <c r="B162" s="52">
        <f aca="true" t="shared" si="22" ref="B162:B173">0.5927+0.4355*$E142^-0.5-7.201*10^-5*$E142+3.503*10^-6*$E142^2</f>
        <v>1.2322993917115403</v>
      </c>
      <c r="C162" s="28">
        <f aca="true" t="shared" si="23" ref="C162:C173">$H142*LN(($D$63*$D$58)/($B162*$C142))</f>
        <v>3.604667582233359</v>
      </c>
      <c r="D162" s="45"/>
      <c r="E162" s="41">
        <f aca="true" t="shared" si="24" ref="E162:E173">10^(0.338+0.6386*LOG($F142)+0.2961*(LOG($F142))^2)</f>
        <v>15.051522313527357</v>
      </c>
      <c r="F162" s="64">
        <f aca="true" t="shared" si="25" ref="F162:F173">1-0.1359*LOG($D$61/$F142)</f>
        <v>0.9028244522960581</v>
      </c>
      <c r="G162" s="42">
        <f t="shared" si="20"/>
        <v>73.6508535753195</v>
      </c>
      <c r="H162" s="42">
        <f>$H142*$G162</f>
        <v>203.27635586788182</v>
      </c>
    </row>
    <row r="163" spans="1:8" ht="12">
      <c r="A163" s="25">
        <v>2</v>
      </c>
      <c r="B163" s="52">
        <f t="shared" si="22"/>
        <v>1.2233524153091697</v>
      </c>
      <c r="C163" s="28">
        <f t="shared" si="23"/>
        <v>10.756670025122602</v>
      </c>
      <c r="D163" s="45"/>
      <c r="E163" s="41">
        <f>10^(0.338+0.6386*LOG($F143)+0.2961*(LOG($F143))^2)</f>
        <v>14.559539007144606</v>
      </c>
      <c r="F163" s="64">
        <f>1-0.1359*LOG($D$61/$F143)</f>
        <v>0.9044859259182557</v>
      </c>
      <c r="G163" s="42">
        <f t="shared" si="20"/>
        <v>71.37456631173225</v>
      </c>
      <c r="H163" s="42">
        <f t="shared" si="21"/>
        <v>597.4051200291989</v>
      </c>
    </row>
    <row r="164" spans="1:8" ht="12">
      <c r="A164" s="25">
        <v>3</v>
      </c>
      <c r="B164" s="52">
        <f>0.5927+0.4355*$E144^-0.5-7.201*10^-5*$E144+3.503*10^-6*$E144^2</f>
        <v>1.2157622253220661</v>
      </c>
      <c r="C164" s="28">
        <f>$H144*LN(($D$63*$D$58)/($B164*$C144))</f>
        <v>24.899448993498506</v>
      </c>
      <c r="D164" s="45"/>
      <c r="E164" s="41">
        <f>10^(0.338+0.6386*LOG($F144)+0.2961*(LOG($F144))^2)</f>
        <v>14.151846308350637</v>
      </c>
      <c r="F164" s="64">
        <f t="shared" si="25"/>
        <v>0.9059139928195376</v>
      </c>
      <c r="G164" s="42">
        <f t="shared" si="20"/>
        <v>69.48548862836907</v>
      </c>
      <c r="H164" s="42">
        <f t="shared" si="21"/>
        <v>1365.389851547452</v>
      </c>
    </row>
    <row r="165" spans="1:8" ht="12">
      <c r="A165" s="25">
        <v>4</v>
      </c>
      <c r="B165" s="52">
        <f t="shared" si="22"/>
        <v>1.2092405959544694</v>
      </c>
      <c r="C165" s="28">
        <f t="shared" si="23"/>
        <v>45.42862641004065</v>
      </c>
      <c r="D165" s="45"/>
      <c r="E165" s="41">
        <f t="shared" si="24"/>
        <v>13.808540335546708</v>
      </c>
      <c r="F165" s="64">
        <f t="shared" si="25"/>
        <v>0.9071549521311383</v>
      </c>
      <c r="G165" s="42">
        <f t="shared" si="20"/>
        <v>67.89273327760571</v>
      </c>
      <c r="H165" s="42">
        <f>$H145*$G165</f>
        <v>2464.506217977087</v>
      </c>
    </row>
    <row r="166" spans="1:8" ht="12">
      <c r="A166" s="25">
        <v>5</v>
      </c>
      <c r="B166" s="52">
        <f>0.5927+0.4355*$E146^-0.5-7.201*10^-5*$E146+3.503*10^-6*$E146^2</f>
        <v>1.2035758281140507</v>
      </c>
      <c r="C166" s="28">
        <f>$H146*LN(($D$63*$D$58)/($B166*$C146))</f>
        <v>64.86827748495585</v>
      </c>
      <c r="D166" s="45"/>
      <c r="E166" s="41">
        <f t="shared" si="24"/>
        <v>13.51551545592362</v>
      </c>
      <c r="F166" s="64">
        <f t="shared" si="25"/>
        <v>0.9082435435770193</v>
      </c>
      <c r="G166" s="42">
        <f t="shared" si="20"/>
        <v>66.53175466368928</v>
      </c>
      <c r="H166" s="42">
        <f t="shared" si="21"/>
        <v>3486.929261923955</v>
      </c>
    </row>
    <row r="167" spans="1:8" ht="12">
      <c r="A167" s="25">
        <v>6</v>
      </c>
      <c r="B167" s="52">
        <f t="shared" si="22"/>
        <v>1.1986088594486692</v>
      </c>
      <c r="C167" s="28">
        <f t="shared" si="23"/>
        <v>72.57479754973537</v>
      </c>
      <c r="D167" s="45"/>
      <c r="E167" s="41">
        <f t="shared" si="24"/>
        <v>13.262499245028126</v>
      </c>
      <c r="F167" s="64">
        <f t="shared" si="25"/>
        <v>0.9092063617013681</v>
      </c>
      <c r="G167" s="42">
        <f t="shared" si="20"/>
        <v>65.35546102963518</v>
      </c>
      <c r="H167" s="42">
        <f t="shared" si="21"/>
        <v>3870.3504021749955</v>
      </c>
    </row>
    <row r="168" spans="1:8" ht="12">
      <c r="A168" s="25">
        <v>7</v>
      </c>
      <c r="B168" s="52">
        <f t="shared" si="22"/>
        <v>1.1942178189958235</v>
      </c>
      <c r="C168" s="28">
        <f t="shared" si="23"/>
        <v>63.658851238136116</v>
      </c>
      <c r="D168" s="45"/>
      <c r="E168" s="41">
        <f t="shared" si="24"/>
        <v>13.04183493811933</v>
      </c>
      <c r="F168" s="64">
        <f t="shared" si="25"/>
        <v>0.9100641220720184</v>
      </c>
      <c r="G168" s="42">
        <f t="shared" si="20"/>
        <v>64.32869440900926</v>
      </c>
      <c r="H168" s="42">
        <f t="shared" si="21"/>
        <v>3371.466873976175</v>
      </c>
    </row>
    <row r="169" spans="1:8" ht="12">
      <c r="A169" s="25">
        <v>8</v>
      </c>
      <c r="B169" s="52">
        <f t="shared" si="22"/>
        <v>1.1903077309124885</v>
      </c>
      <c r="C169" s="28">
        <f t="shared" si="23"/>
        <v>43.736609673522146</v>
      </c>
      <c r="D169" s="45"/>
      <c r="E169" s="41">
        <f>10^(0.338+0.6386*LOG($F149)+0.2961*(LOG($F149))^2)</f>
        <v>12.84769973707632</v>
      </c>
      <c r="F169" s="64">
        <f>1-0.1359*LOG($D$61/$F149)</f>
        <v>0.9108332076526106</v>
      </c>
      <c r="G169" s="42">
        <f t="shared" si="20"/>
        <v>63.42467912682436</v>
      </c>
      <c r="H169" s="42">
        <f t="shared" si="21"/>
        <v>2302.315852303724</v>
      </c>
    </row>
    <row r="170" spans="1:8" ht="12">
      <c r="A170" s="25">
        <v>9</v>
      </c>
      <c r="B170" s="52">
        <f t="shared" si="22"/>
        <v>1.1868034663504299</v>
      </c>
      <c r="C170" s="28">
        <f t="shared" si="23"/>
        <v>23.50235994052176</v>
      </c>
      <c r="D170" s="45"/>
      <c r="E170" s="41">
        <f t="shared" si="24"/>
        <v>12.675587355388785</v>
      </c>
      <c r="F170" s="64">
        <f t="shared" si="25"/>
        <v>0.9115267496362709</v>
      </c>
      <c r="G170" s="42">
        <f t="shared" si="20"/>
        <v>62.622666363050016</v>
      </c>
      <c r="H170" s="42">
        <f t="shared" si="21"/>
        <v>1230.5353940339328</v>
      </c>
    </row>
    <row r="171" spans="1:8" ht="12">
      <c r="A171" s="25">
        <v>10</v>
      </c>
      <c r="B171" s="52">
        <f t="shared" si="22"/>
        <v>1.1836448056471192</v>
      </c>
      <c r="C171" s="28">
        <f t="shared" si="23"/>
        <v>9.943976560128753</v>
      </c>
      <c r="D171" s="45"/>
      <c r="E171" s="41">
        <f t="shared" si="24"/>
        <v>12.521956239607126</v>
      </c>
      <c r="F171" s="64">
        <f t="shared" si="25"/>
        <v>0.9121553989793338</v>
      </c>
      <c r="G171" s="42">
        <f t="shared" si="20"/>
        <v>61.90633012919761</v>
      </c>
      <c r="H171" s="42">
        <f t="shared" si="21"/>
        <v>518.1559831813839</v>
      </c>
    </row>
    <row r="172" spans="1:8" ht="12">
      <c r="A172" s="25">
        <v>11</v>
      </c>
      <c r="B172" s="52">
        <f t="shared" si="22"/>
        <v>1.1807829074922094</v>
      </c>
      <c r="C172" s="28">
        <f t="shared" si="23"/>
        <v>3.258894879348509</v>
      </c>
      <c r="D172" s="45"/>
      <c r="E172" s="41">
        <f t="shared" si="24"/>
        <v>12.383984765492789</v>
      </c>
      <c r="F172" s="64">
        <f t="shared" si="25"/>
        <v>0.9127278875145789</v>
      </c>
      <c r="G172" s="42">
        <f t="shared" si="20"/>
        <v>61.26264929088512</v>
      </c>
      <c r="H172" s="42">
        <f t="shared" si="21"/>
        <v>169.08491204284292</v>
      </c>
    </row>
    <row r="173" spans="1:11" ht="12">
      <c r="A173" s="25">
        <v>12</v>
      </c>
      <c r="B173" s="52">
        <f t="shared" si="22"/>
        <v>1.1781777378309717</v>
      </c>
      <c r="C173" s="28">
        <f t="shared" si="23"/>
        <v>1.0566775777660413</v>
      </c>
      <c r="D173" s="45"/>
      <c r="E173" s="41">
        <f t="shared" si="24"/>
        <v>12.259397315796326</v>
      </c>
      <c r="F173" s="64">
        <f t="shared" si="25"/>
        <v>0.9132514428766584</v>
      </c>
      <c r="G173" s="42">
        <f t="shared" si="20"/>
        <v>60.68111217127377</v>
      </c>
      <c r="H173" s="42">
        <f t="shared" si="21"/>
        <v>54.61300095414639</v>
      </c>
      <c r="I173" s="35" t="s">
        <v>346</v>
      </c>
      <c r="J173" s="35"/>
      <c r="K173" s="35"/>
    </row>
    <row r="174" spans="3:11" ht="14.25">
      <c r="C174" s="28">
        <f>SUM(C161:C173)</f>
        <v>368.4873954780807</v>
      </c>
      <c r="H174" s="42">
        <f>SUM(H161:H173)</f>
        <v>19702.83107227042</v>
      </c>
      <c r="I174" s="38">
        <f>$H$174/$C$14</f>
        <v>65.67610357423473</v>
      </c>
      <c r="J174" s="35" t="s">
        <v>297</v>
      </c>
      <c r="K174" s="35"/>
    </row>
    <row r="176" s="14" customFormat="1" ht="15.75" customHeight="1">
      <c r="B176" s="5" t="s">
        <v>251</v>
      </c>
    </row>
    <row r="177" spans="2:5" ht="12">
      <c r="B177" s="121" t="s">
        <v>165</v>
      </c>
      <c r="C177" s="121"/>
      <c r="D177" s="121" t="s">
        <v>166</v>
      </c>
      <c r="E177" s="121"/>
    </row>
    <row r="178" spans="2:10" ht="13.5">
      <c r="B178" s="25" t="s">
        <v>167</v>
      </c>
      <c r="C178" s="25" t="s">
        <v>167</v>
      </c>
      <c r="D178" s="25" t="s">
        <v>167</v>
      </c>
      <c r="E178" s="25" t="s">
        <v>167</v>
      </c>
      <c r="F178" s="54" t="s">
        <v>168</v>
      </c>
      <c r="G178" s="54" t="s">
        <v>169</v>
      </c>
      <c r="H178" s="54" t="s">
        <v>170</v>
      </c>
      <c r="I178" s="54" t="s">
        <v>171</v>
      </c>
      <c r="J178" s="54" t="s">
        <v>172</v>
      </c>
    </row>
    <row r="179" spans="2:10" ht="13.5">
      <c r="B179" s="25" t="s">
        <v>132</v>
      </c>
      <c r="C179" s="25" t="s">
        <v>131</v>
      </c>
      <c r="D179" s="25" t="s">
        <v>132</v>
      </c>
      <c r="E179" s="25" t="s">
        <v>131</v>
      </c>
      <c r="G179" s="55"/>
      <c r="H179" s="80"/>
      <c r="I179" s="80" t="s">
        <v>173</v>
      </c>
      <c r="J179" s="80" t="s">
        <v>174</v>
      </c>
    </row>
    <row r="180" spans="2:5" ht="13.5">
      <c r="B180" s="54" t="s">
        <v>133</v>
      </c>
      <c r="C180" s="54" t="s">
        <v>134</v>
      </c>
      <c r="D180" s="54" t="s">
        <v>175</v>
      </c>
      <c r="E180" s="54" t="s">
        <v>176</v>
      </c>
    </row>
    <row r="181" spans="2:10" ht="14.25">
      <c r="B181" s="54" t="s">
        <v>94</v>
      </c>
      <c r="C181" s="54" t="s">
        <v>23</v>
      </c>
      <c r="D181" s="54" t="s">
        <v>94</v>
      </c>
      <c r="E181" s="54" t="s">
        <v>23</v>
      </c>
      <c r="F181" s="54" t="s">
        <v>11</v>
      </c>
      <c r="G181" s="54" t="s">
        <v>137</v>
      </c>
      <c r="H181" s="54" t="s">
        <v>137</v>
      </c>
      <c r="I181" s="54" t="s">
        <v>137</v>
      </c>
      <c r="J181" s="54" t="s">
        <v>137</v>
      </c>
    </row>
    <row r="182" spans="2:10" ht="12">
      <c r="B182" s="42">
        <f>($C$71+$D$80+$C$62)*$C$14</f>
        <v>37901.870971681354</v>
      </c>
      <c r="C182" s="42">
        <f>2*($J$16-1)*$J$11*$C$14*LN(($C$63*$C$58)/($C$72*$C$67))</f>
        <v>4.3100826253208675</v>
      </c>
      <c r="D182" s="42">
        <f>$I$154+$H$174+$D$62*$C$14</f>
        <v>40945.50024896548</v>
      </c>
      <c r="E182" s="42">
        <f>2*($J$16-1)*$J$11*$C$174</f>
        <v>17.232969404326496</v>
      </c>
      <c r="F182" s="53">
        <f>$D$182/$B$182</f>
        <v>1.0803028768568759</v>
      </c>
      <c r="G182" s="53">
        <f>-($C$182-$E$182)/$B$182</f>
        <v>0.0003409564342789583</v>
      </c>
      <c r="H182" s="53">
        <f>($F$182-1)*$C$9+$G$182</f>
        <v>0.0005424765037512883</v>
      </c>
      <c r="I182" s="53">
        <f>2*((3-2*$F$182)*$C$9-2*$G$182)</f>
        <v>0.002849093984994847</v>
      </c>
      <c r="J182" s="53">
        <f>3*(($F$182-2)*$C$9+$G$182)</f>
        <v>-0.005901070488746135</v>
      </c>
    </row>
    <row r="184" spans="2:10" ht="15">
      <c r="B184" s="71" t="s">
        <v>177</v>
      </c>
      <c r="C184" s="71" t="s">
        <v>178</v>
      </c>
      <c r="D184" s="71" t="s">
        <v>179</v>
      </c>
      <c r="E184" s="71" t="s">
        <v>180</v>
      </c>
      <c r="F184" s="83" t="s">
        <v>347</v>
      </c>
      <c r="G184" s="83" t="s">
        <v>348</v>
      </c>
      <c r="H184" s="83" t="s">
        <v>349</v>
      </c>
      <c r="I184" s="83" t="s">
        <v>350</v>
      </c>
      <c r="J184" s="83" t="s">
        <v>351</v>
      </c>
    </row>
    <row r="185" spans="2:10" ht="13.5">
      <c r="B185" s="69"/>
      <c r="C185" s="68"/>
      <c r="D185" s="68"/>
      <c r="E185" s="68"/>
      <c r="F185" s="112" t="s">
        <v>352</v>
      </c>
      <c r="G185" s="112" t="s">
        <v>353</v>
      </c>
      <c r="H185" s="112" t="s">
        <v>354</v>
      </c>
      <c r="I185" s="112" t="s">
        <v>355</v>
      </c>
      <c r="J185" s="112" t="s">
        <v>356</v>
      </c>
    </row>
    <row r="186" spans="2:10" ht="13.5">
      <c r="B186" s="72" t="s">
        <v>181</v>
      </c>
      <c r="C186" s="68"/>
      <c r="D186" s="68"/>
      <c r="E186" s="68"/>
      <c r="F186" s="83"/>
      <c r="G186" s="83" t="s">
        <v>357</v>
      </c>
      <c r="H186" s="83" t="s">
        <v>358</v>
      </c>
      <c r="I186" s="35"/>
      <c r="J186" s="35"/>
    </row>
    <row r="187" spans="2:10" ht="14.25">
      <c r="B187" s="76" t="s">
        <v>11</v>
      </c>
      <c r="C187" s="54" t="s">
        <v>11</v>
      </c>
      <c r="D187" s="54" t="s">
        <v>11</v>
      </c>
      <c r="E187" s="54" t="s">
        <v>11</v>
      </c>
      <c r="F187" s="83" t="s">
        <v>337</v>
      </c>
      <c r="G187" s="83" t="s">
        <v>337</v>
      </c>
      <c r="H187" s="83" t="s">
        <v>337</v>
      </c>
      <c r="I187" s="83" t="s">
        <v>263</v>
      </c>
      <c r="J187" s="83" t="s">
        <v>263</v>
      </c>
    </row>
    <row r="188" spans="2:10" ht="12">
      <c r="B188" s="81">
        <v>0.5209295</v>
      </c>
      <c r="C188" s="82">
        <f>($D$135+$E$135*$B$188+$F$135*$B$188^2)/($G$135+$H$135*$B$188+$I$135*$B$188^2)</f>
        <v>0.7440971642671295</v>
      </c>
      <c r="D188" s="82">
        <f>($H$182+$I$182*$B$188+$J$182*$B$188^2)/((2*$B$188-3*$B$188^2)*$C$9)</f>
        <v>0.7441014370719086</v>
      </c>
      <c r="E188" s="82">
        <f>$C$188</f>
        <v>0.7440971642671295</v>
      </c>
      <c r="F188" s="111">
        <f>($B$135*$E$188)*$C$9+$C$135</f>
        <v>0.0030519855616223807</v>
      </c>
      <c r="G188" s="111">
        <f>2*((3-(2*$B$135+1)*$E$188)*$C$9-2*$C$135)</f>
        <v>-0.0008855659139462451</v>
      </c>
      <c r="H188" s="111">
        <f>-3*((2-($B$135+1)*$E$188)*$C$9-$C$135)</f>
        <v>-0.0002991078139477749</v>
      </c>
      <c r="I188" s="91">
        <f>($F$188+$G$188+$H$188)/$C$9</f>
        <v>0.7440971642671291</v>
      </c>
      <c r="J188" s="91">
        <f>$F$188/$C$9</f>
        <v>1.216172768130058</v>
      </c>
    </row>
    <row r="190" spans="3:6" ht="15">
      <c r="C190" s="71" t="s">
        <v>260</v>
      </c>
      <c r="D190" s="82">
        <f>$C$188-$D$188</f>
        <v>-4.272804779104078E-06</v>
      </c>
      <c r="E190" s="70" t="s">
        <v>182</v>
      </c>
      <c r="F190" s="44" t="s">
        <v>183</v>
      </c>
    </row>
    <row r="191" spans="2:6" ht="12">
      <c r="B191" s="40"/>
      <c r="D191" s="82"/>
      <c r="E191" s="70"/>
      <c r="F191" s="43"/>
    </row>
    <row r="192" spans="2:7" s="26" customFormat="1" ht="14.25">
      <c r="B192" s="5" t="s">
        <v>252</v>
      </c>
      <c r="C192" s="25"/>
      <c r="D192" s="82"/>
      <c r="E192" s="70"/>
      <c r="F192" s="43"/>
      <c r="G192" s="25"/>
    </row>
    <row r="193" spans="2:7" s="26" customFormat="1" ht="15">
      <c r="B193" s="39" t="s">
        <v>184</v>
      </c>
      <c r="C193" s="59">
        <f>$C$27</f>
        <v>1.16329E-05</v>
      </c>
      <c r="D193" s="26" t="s">
        <v>45</v>
      </c>
      <c r="E193" s="39" t="s">
        <v>185</v>
      </c>
      <c r="F193" s="59">
        <f>$C$41</f>
        <v>3.972203946249648E-06</v>
      </c>
      <c r="G193" s="26" t="s">
        <v>186</v>
      </c>
    </row>
    <row r="194" spans="2:8" s="26" customFormat="1" ht="15">
      <c r="B194" s="39" t="s">
        <v>187</v>
      </c>
      <c r="C194" s="59">
        <f>$C$29</f>
        <v>6.9119696982348814E-06</v>
      </c>
      <c r="D194" s="26" t="s">
        <v>45</v>
      </c>
      <c r="E194" s="37" t="s">
        <v>359</v>
      </c>
      <c r="F194" s="91">
        <f>1-($C$194/$F$195)</f>
        <v>0.6000043135631474</v>
      </c>
      <c r="G194" s="35"/>
      <c r="H194" s="35"/>
    </row>
    <row r="195" spans="2:8" s="26" customFormat="1" ht="15">
      <c r="B195" s="37" t="s">
        <v>189</v>
      </c>
      <c r="C195" s="50">
        <f>$C$31</f>
        <v>400</v>
      </c>
      <c r="D195" s="35" t="s">
        <v>6</v>
      </c>
      <c r="E195" s="37" t="s">
        <v>360</v>
      </c>
      <c r="F195" s="66">
        <f>$F$196/(57.87*1000000)</f>
        <v>1.7280110592707793E-05</v>
      </c>
      <c r="G195" s="35" t="s">
        <v>361</v>
      </c>
      <c r="H195" s="113"/>
    </row>
    <row r="196" spans="3:11" s="26" customFormat="1" ht="15">
      <c r="C196" s="83"/>
      <c r="E196" s="48" t="s">
        <v>365</v>
      </c>
      <c r="F196" s="118">
        <v>1000</v>
      </c>
      <c r="G196" s="114" t="s">
        <v>366</v>
      </c>
      <c r="H196" s="49" t="s">
        <v>367</v>
      </c>
      <c r="I196" s="49"/>
      <c r="J196" s="49"/>
      <c r="K196" s="49"/>
    </row>
    <row r="197" spans="3:8" s="26" customFormat="1" ht="12">
      <c r="C197" s="83"/>
      <c r="F197" s="44"/>
      <c r="G197" s="82"/>
      <c r="H197" s="72"/>
    </row>
    <row r="198" spans="2:10" s="85" customFormat="1" ht="15">
      <c r="B198" s="84" t="s">
        <v>190</v>
      </c>
      <c r="C198" s="85">
        <f>$C$44*C$211</f>
        <v>18335</v>
      </c>
      <c r="D198" s="85" t="s">
        <v>191</v>
      </c>
      <c r="J198" s="86"/>
    </row>
    <row r="199" spans="2:10" s="88" customFormat="1" ht="14.25">
      <c r="B199" s="87"/>
      <c r="C199" s="87">
        <f>C$198*3600/1000000</f>
        <v>66.006</v>
      </c>
      <c r="D199" s="87" t="s">
        <v>192</v>
      </c>
      <c r="F199" s="87"/>
      <c r="G199" s="87"/>
      <c r="J199" s="89"/>
    </row>
    <row r="200" spans="2:10" s="64" customFormat="1" ht="15">
      <c r="B200" s="90" t="s">
        <v>193</v>
      </c>
      <c r="C200" s="52">
        <f>$C$8*$C$15*$C$16*(C$211+1)*3600/1000000</f>
        <v>6.6186</v>
      </c>
      <c r="D200" s="52" t="s">
        <v>192</v>
      </c>
      <c r="F200" s="52"/>
      <c r="G200" s="52"/>
      <c r="J200" s="91"/>
    </row>
    <row r="201" spans="2:10" s="26" customFormat="1" ht="14.25">
      <c r="B201" s="37" t="s">
        <v>194</v>
      </c>
      <c r="C201" s="38">
        <f>(($C$193-$C$194)/($F$195-$C$194))*C$199</f>
        <v>30.054541954037543</v>
      </c>
      <c r="D201" s="35" t="s">
        <v>195</v>
      </c>
      <c r="F201" s="38"/>
      <c r="G201" s="38"/>
      <c r="J201" s="35"/>
    </row>
    <row r="202" spans="2:11" s="26" customFormat="1" ht="15">
      <c r="B202" s="37" t="s">
        <v>196</v>
      </c>
      <c r="C202" s="38">
        <f>C$199-C$201</f>
        <v>35.951458045962454</v>
      </c>
      <c r="D202" s="35" t="s">
        <v>195</v>
      </c>
      <c r="F202" s="38"/>
      <c r="G202" s="38"/>
      <c r="J202" s="35"/>
      <c r="K202" s="92"/>
    </row>
    <row r="203" spans="2:4" s="94" customFormat="1" ht="14.25">
      <c r="B203" s="93" t="s">
        <v>197</v>
      </c>
      <c r="C203" s="94">
        <f>$C$18*C$211</f>
        <v>3667000</v>
      </c>
      <c r="D203" s="94" t="s">
        <v>198</v>
      </c>
    </row>
    <row r="204" spans="2:4" s="96" customFormat="1" ht="15">
      <c r="B204" s="95" t="s">
        <v>199</v>
      </c>
      <c r="C204" s="96">
        <f>C$203*$F$193*3600/1000000</f>
        <v>0.05243785873523085</v>
      </c>
      <c r="D204" s="96" t="s">
        <v>200</v>
      </c>
    </row>
    <row r="205" spans="2:9" s="99" customFormat="1" ht="15">
      <c r="B205" s="97" t="s">
        <v>201</v>
      </c>
      <c r="C205" s="98">
        <f>C$199-C$204</f>
        <v>65.95356214126477</v>
      </c>
      <c r="D205" s="99" t="s">
        <v>200</v>
      </c>
      <c r="F205" s="98"/>
      <c r="G205" s="98"/>
      <c r="I205" s="98"/>
    </row>
    <row r="206" spans="2:4" s="88" customFormat="1" ht="15">
      <c r="B206" s="100" t="s">
        <v>202</v>
      </c>
      <c r="C206" s="88">
        <f>$C$19*$I$126*C$211</f>
        <v>3680.506556058979</v>
      </c>
      <c r="D206" s="88" t="s">
        <v>203</v>
      </c>
    </row>
    <row r="207" spans="2:4" s="77" customFormat="1" ht="14.25">
      <c r="B207" s="101" t="s">
        <v>204</v>
      </c>
      <c r="C207" s="77">
        <f>(C$206/C$209)/1000</f>
        <v>0.12267494787591474</v>
      </c>
      <c r="D207" s="77" t="s">
        <v>205</v>
      </c>
    </row>
    <row r="208" spans="2:9" s="77" customFormat="1" ht="12">
      <c r="B208" s="101" t="s">
        <v>206</v>
      </c>
      <c r="C208" s="75">
        <f>C$209/(C$201+C$200)</f>
        <v>0.8180947280956717</v>
      </c>
      <c r="F208" s="75"/>
      <c r="G208" s="75"/>
      <c r="I208" s="75"/>
    </row>
    <row r="209" spans="2:9" s="88" customFormat="1" ht="14.25">
      <c r="B209" s="102" t="s">
        <v>207</v>
      </c>
      <c r="C209" s="103">
        <f>C$201-C$204</f>
        <v>30.00210409530231</v>
      </c>
      <c r="D209" s="103" t="s">
        <v>208</v>
      </c>
      <c r="F209" s="103"/>
      <c r="G209" s="103"/>
      <c r="I209" s="103"/>
    </row>
    <row r="210" spans="2:7" s="88" customFormat="1" ht="14.25">
      <c r="B210" s="102" t="s">
        <v>209</v>
      </c>
      <c r="C210" s="103">
        <v>30</v>
      </c>
      <c r="D210" s="103" t="s">
        <v>208</v>
      </c>
      <c r="E210" s="103" t="s">
        <v>385</v>
      </c>
      <c r="F210" s="103"/>
      <c r="G210" s="103"/>
    </row>
    <row r="211" spans="2:7" s="88" customFormat="1" ht="14.25">
      <c r="B211" s="102" t="s">
        <v>210</v>
      </c>
      <c r="C211" s="103">
        <v>366.7</v>
      </c>
      <c r="D211" s="103" t="s">
        <v>211</v>
      </c>
      <c r="E211" s="103" t="s">
        <v>386</v>
      </c>
      <c r="F211" s="103"/>
      <c r="G211" s="103"/>
    </row>
    <row r="212" spans="2:9" s="26" customFormat="1" ht="12">
      <c r="B212" s="43"/>
      <c r="C212" s="62"/>
      <c r="H212" s="44"/>
      <c r="I212" s="43"/>
    </row>
    <row r="213" spans="2:8" s="26" customFormat="1" ht="12">
      <c r="B213" s="43"/>
      <c r="E213" s="44"/>
      <c r="F213" s="62"/>
      <c r="G213" s="44"/>
      <c r="H213" s="43"/>
    </row>
    <row r="214" spans="2:10" s="14" customFormat="1" ht="15.75" customHeight="1">
      <c r="B214" s="5" t="s">
        <v>253</v>
      </c>
      <c r="E214" s="104"/>
      <c r="F214" s="105"/>
      <c r="G214" s="56"/>
      <c r="H214" s="104"/>
      <c r="I214" s="56"/>
      <c r="J214" s="56"/>
    </row>
    <row r="215" spans="2:7" ht="13.5">
      <c r="B215" s="26" t="s">
        <v>212</v>
      </c>
      <c r="C215" s="77">
        <v>0.595</v>
      </c>
      <c r="D215" s="25" t="s">
        <v>213</v>
      </c>
      <c r="E215" s="42">
        <v>83.5</v>
      </c>
      <c r="F215" s="25" t="s">
        <v>214</v>
      </c>
      <c r="G215" s="106">
        <v>0.7846</v>
      </c>
    </row>
    <row r="216" spans="2:7" ht="13.5">
      <c r="B216" s="25" t="s">
        <v>215</v>
      </c>
      <c r="C216" s="75">
        <v>0.2731</v>
      </c>
      <c r="D216" s="25" t="s">
        <v>216</v>
      </c>
      <c r="E216" s="42">
        <v>24</v>
      </c>
      <c r="F216" s="25" t="s">
        <v>217</v>
      </c>
      <c r="G216" s="61">
        <v>0.008612</v>
      </c>
    </row>
    <row r="217" spans="2:3" ht="13.5">
      <c r="B217" s="25" t="s">
        <v>218</v>
      </c>
      <c r="C217" s="75">
        <v>0.131</v>
      </c>
    </row>
    <row r="218" ht="12">
      <c r="C218" s="75"/>
    </row>
    <row r="219" spans="2:5" ht="15">
      <c r="B219" s="37" t="s">
        <v>371</v>
      </c>
      <c r="C219" s="35" t="s">
        <v>265</v>
      </c>
      <c r="D219" s="34">
        <f>$C$7*(1-3*$C$6)</f>
        <v>7</v>
      </c>
      <c r="E219" s="35" t="s">
        <v>372</v>
      </c>
    </row>
    <row r="220" spans="2:4" ht="13.5">
      <c r="B220" s="43" t="s">
        <v>257</v>
      </c>
      <c r="C220" s="44"/>
      <c r="D220" s="45">
        <f>($C$215+$C$216*($J$9/25)+$C$217*($J$9/25)^2)*($D$223^($G$215+$G$216*$D$219))/($C$27-$D$223)</f>
        <v>1.0977760673071617</v>
      </c>
    </row>
    <row r="221" spans="2:4" ht="13.5">
      <c r="B221" s="43" t="s">
        <v>258</v>
      </c>
      <c r="C221" s="44"/>
      <c r="D221" s="45">
        <f>(($C$15*$E$188)/($J$13*$C$17))*($D$219/($E$215+$E$216*$D$219))</f>
        <v>1.0977706617667307</v>
      </c>
    </row>
    <row r="222" spans="2:5" ht="13.5">
      <c r="B222" s="43" t="s">
        <v>259</v>
      </c>
      <c r="C222" s="44"/>
      <c r="D222" s="45">
        <f>$D$220-$D$221</f>
        <v>5.405540431047129E-06</v>
      </c>
      <c r="E222" s="70" t="s">
        <v>219</v>
      </c>
    </row>
    <row r="223" spans="2:7" ht="15">
      <c r="B223" s="43" t="s">
        <v>255</v>
      </c>
      <c r="C223" s="44" t="s">
        <v>256</v>
      </c>
      <c r="D223" s="57">
        <v>1.38935E-06</v>
      </c>
      <c r="E223" s="44" t="s">
        <v>220</v>
      </c>
      <c r="F223" s="44"/>
      <c r="G223" s="44" t="s">
        <v>221</v>
      </c>
    </row>
    <row r="224" spans="2:7" ht="15">
      <c r="B224" s="35" t="s">
        <v>373</v>
      </c>
      <c r="C224" s="35" t="s">
        <v>337</v>
      </c>
      <c r="D224" s="120">
        <f>($C$215+$C$216*($J$9/25)+$C$217*($J$9/25)^2)*(($E$215+$E$216*$D$219)*$D$223^($G$215+$G$216*$D$219))/$E$188</f>
        <v>0.0038007787563643573</v>
      </c>
      <c r="E224" s="91">
        <f>$D$224*100</f>
        <v>0.38007787563643575</v>
      </c>
      <c r="F224" s="35" t="s">
        <v>374</v>
      </c>
      <c r="G224" s="35" t="s">
        <v>375</v>
      </c>
    </row>
    <row r="225" spans="5:7" ht="12">
      <c r="E225" s="64"/>
      <c r="F225" s="26"/>
      <c r="G225" s="40"/>
    </row>
    <row r="226" spans="5:7" ht="12">
      <c r="E226" s="64"/>
      <c r="F226" s="26"/>
      <c r="G226" s="40"/>
    </row>
    <row r="227" spans="2:10" ht="14.25">
      <c r="B227" s="5" t="s">
        <v>254</v>
      </c>
      <c r="C227" s="1"/>
      <c r="F227" s="61"/>
      <c r="H227" s="40"/>
      <c r="J227" s="44"/>
    </row>
    <row r="228" spans="2:8" ht="14.25">
      <c r="B228" s="5" t="s">
        <v>376</v>
      </c>
      <c r="C228" s="1"/>
      <c r="F228" s="52"/>
      <c r="H228" s="55"/>
    </row>
    <row r="229" spans="2:10" s="26" customFormat="1" ht="18.75">
      <c r="B229" s="6" t="s">
        <v>222</v>
      </c>
      <c r="C229" s="7">
        <f>$I$126</f>
        <v>0.3999534852978892</v>
      </c>
      <c r="D229" s="8" t="s">
        <v>4</v>
      </c>
      <c r="E229" s="9" t="s">
        <v>223</v>
      </c>
      <c r="F229" s="23">
        <f>$C$15</f>
        <v>0.05</v>
      </c>
      <c r="G229" s="10" t="s">
        <v>29</v>
      </c>
      <c r="H229" s="9"/>
      <c r="I229" s="11"/>
      <c r="J229" s="12"/>
    </row>
    <row r="230" spans="2:10" s="10" customFormat="1" ht="16.5">
      <c r="B230" s="9" t="s">
        <v>224</v>
      </c>
      <c r="C230" s="12">
        <f>$C$26</f>
        <v>1000</v>
      </c>
      <c r="D230" s="14" t="s">
        <v>225</v>
      </c>
      <c r="E230" s="6" t="s">
        <v>30</v>
      </c>
      <c r="F230" s="24">
        <f>$C$16</f>
        <v>100</v>
      </c>
      <c r="G230" s="14" t="s">
        <v>29</v>
      </c>
      <c r="H230" s="9"/>
      <c r="I230" s="11"/>
      <c r="J230" s="12"/>
    </row>
    <row r="231" spans="2:10" ht="18.75">
      <c r="B231" s="6" t="s">
        <v>226</v>
      </c>
      <c r="C231" s="13">
        <f>$F$196</f>
        <v>1000</v>
      </c>
      <c r="D231" s="14" t="s">
        <v>225</v>
      </c>
      <c r="E231" s="6" t="s">
        <v>31</v>
      </c>
      <c r="F231" s="13">
        <f>$C$17</f>
        <v>100</v>
      </c>
      <c r="G231" s="14" t="s">
        <v>29</v>
      </c>
      <c r="H231" s="6"/>
      <c r="I231" s="15"/>
      <c r="J231" s="12"/>
    </row>
    <row r="232" spans="2:10" ht="18.75">
      <c r="B232" s="6" t="s">
        <v>227</v>
      </c>
      <c r="C232" s="15">
        <f>$C$28</f>
        <v>673.195923</v>
      </c>
      <c r="D232" s="14" t="s">
        <v>225</v>
      </c>
      <c r="E232" s="6" t="s">
        <v>7</v>
      </c>
      <c r="F232" s="15">
        <f>$J$9</f>
        <v>25</v>
      </c>
      <c r="G232" s="14" t="s">
        <v>8</v>
      </c>
      <c r="H232" s="6"/>
      <c r="I232" s="15"/>
      <c r="J232" s="12"/>
    </row>
    <row r="233" spans="2:10" ht="18.75">
      <c r="B233" s="6" t="s">
        <v>228</v>
      </c>
      <c r="C233" s="13">
        <f>$C$37</f>
        <v>1000</v>
      </c>
      <c r="D233" s="14" t="s">
        <v>225</v>
      </c>
      <c r="H233" s="6"/>
      <c r="I233" s="15"/>
      <c r="J233" s="12"/>
    </row>
    <row r="234" spans="2:10" ht="18.75">
      <c r="B234" s="6" t="s">
        <v>229</v>
      </c>
      <c r="C234" s="15">
        <f>$C$7</f>
        <v>10</v>
      </c>
      <c r="D234" s="14" t="s">
        <v>12</v>
      </c>
      <c r="H234" s="6"/>
      <c r="I234" s="15"/>
      <c r="J234" s="12"/>
    </row>
    <row r="235" spans="2:10" ht="18.75">
      <c r="B235" s="6" t="s">
        <v>383</v>
      </c>
      <c r="C235" s="115">
        <f>$C$46</f>
        <v>9.992055592107501</v>
      </c>
      <c r="D235" s="14" t="s">
        <v>12</v>
      </c>
      <c r="H235" s="6"/>
      <c r="I235" s="15"/>
      <c r="J235" s="12"/>
    </row>
    <row r="236" spans="2:10" ht="18.75">
      <c r="B236" s="6" t="s">
        <v>230</v>
      </c>
      <c r="C236" s="15">
        <f>$C$8</f>
        <v>1</v>
      </c>
      <c r="D236" s="14" t="s">
        <v>12</v>
      </c>
      <c r="H236" s="6"/>
      <c r="I236" s="15"/>
      <c r="J236" s="12"/>
    </row>
    <row r="237" spans="5:10" ht="14.25">
      <c r="E237" s="14"/>
      <c r="F237" s="14"/>
      <c r="G237" s="14"/>
      <c r="H237" s="6"/>
      <c r="I237" s="12"/>
      <c r="J237" s="9"/>
    </row>
    <row r="238" spans="2:10" ht="18.75">
      <c r="B238" s="17" t="s">
        <v>231</v>
      </c>
      <c r="C238" s="19">
        <f>$C$40</f>
        <v>2.3594882779431912E-08</v>
      </c>
      <c r="D238" s="10" t="s">
        <v>232</v>
      </c>
      <c r="E238" s="17" t="s">
        <v>69</v>
      </c>
      <c r="F238" s="7">
        <f>$C$43</f>
        <v>0.9071736461340856</v>
      </c>
      <c r="H238" s="22" t="s">
        <v>233</v>
      </c>
      <c r="I238" s="7">
        <f>$E$188</f>
        <v>0.7440971642671295</v>
      </c>
      <c r="J238" s="18"/>
    </row>
    <row r="239" spans="2:10" ht="18.75">
      <c r="B239" s="6" t="s">
        <v>234</v>
      </c>
      <c r="C239" s="19">
        <f>$C$41</f>
        <v>3.972203946249648E-06</v>
      </c>
      <c r="D239" s="10" t="s">
        <v>235</v>
      </c>
      <c r="E239" s="6" t="s">
        <v>188</v>
      </c>
      <c r="F239" s="7">
        <f>$F$194</f>
        <v>0.6000043135631474</v>
      </c>
      <c r="G239" s="14"/>
      <c r="H239" s="6" t="s">
        <v>236</v>
      </c>
      <c r="I239" s="20">
        <f>$B$188</f>
        <v>0.5209295</v>
      </c>
      <c r="J239" s="14"/>
    </row>
    <row r="240" spans="2:10" ht="18.75">
      <c r="B240" s="6" t="s">
        <v>237</v>
      </c>
      <c r="C240" s="13">
        <f>$C$30</f>
        <v>399.99568643685257</v>
      </c>
      <c r="D240" s="14" t="s">
        <v>225</v>
      </c>
      <c r="E240" s="9" t="s">
        <v>16</v>
      </c>
      <c r="F240" s="16">
        <f>$C$9*100</f>
        <v>0.25095</v>
      </c>
      <c r="G240" s="10" t="s">
        <v>238</v>
      </c>
      <c r="H240" s="6"/>
      <c r="I240" s="13"/>
      <c r="J240" s="14"/>
    </row>
    <row r="241" spans="2:10" ht="18.75">
      <c r="B241" s="6" t="s">
        <v>239</v>
      </c>
      <c r="C241" s="12">
        <f>$E$38</f>
        <v>3701.4652221596466</v>
      </c>
      <c r="D241" s="14" t="s">
        <v>382</v>
      </c>
      <c r="E241" s="8" t="s">
        <v>240</v>
      </c>
      <c r="F241" s="7">
        <f>$E$224</f>
        <v>0.38007787563643575</v>
      </c>
      <c r="G241" s="10" t="s">
        <v>238</v>
      </c>
      <c r="H241" s="9"/>
      <c r="I241" s="13"/>
      <c r="J241" s="14"/>
    </row>
    <row r="242" spans="2:10" ht="18.75">
      <c r="B242" s="6" t="s">
        <v>241</v>
      </c>
      <c r="C242" s="12">
        <f>$E$39</f>
        <v>69035.16846998475</v>
      </c>
      <c r="D242" s="14" t="s">
        <v>382</v>
      </c>
      <c r="H242" s="9"/>
      <c r="I242" s="13"/>
      <c r="J242" s="10"/>
    </row>
    <row r="243" ht="14.25">
      <c r="G243" s="10"/>
    </row>
    <row r="244" spans="2:7" s="14" customFormat="1" ht="16.5">
      <c r="B244" s="6" t="s">
        <v>380</v>
      </c>
      <c r="C244" s="32">
        <f>$C$209</f>
        <v>30.00210409530231</v>
      </c>
      <c r="D244" s="32" t="s">
        <v>364</v>
      </c>
      <c r="F244" s="32"/>
      <c r="G244" s="32"/>
    </row>
    <row r="245" spans="2:7" s="14" customFormat="1" ht="18.75">
      <c r="B245" s="6" t="s">
        <v>378</v>
      </c>
      <c r="C245" s="115">
        <f>$C$202</f>
        <v>35.951458045962454</v>
      </c>
      <c r="D245" s="14" t="s">
        <v>379</v>
      </c>
      <c r="F245" s="32"/>
      <c r="G245" s="32"/>
    </row>
    <row r="246" spans="2:10" s="14" customFormat="1" ht="14.25">
      <c r="B246" s="6" t="s">
        <v>24</v>
      </c>
      <c r="C246" s="32">
        <f>$C$211</f>
        <v>366.7</v>
      </c>
      <c r="D246" s="32" t="s">
        <v>211</v>
      </c>
      <c r="F246" s="7"/>
      <c r="G246" s="31"/>
      <c r="J246" s="10"/>
    </row>
    <row r="247" spans="2:11" s="29" customFormat="1" ht="16.5">
      <c r="B247" s="30" t="s">
        <v>204</v>
      </c>
      <c r="C247" s="117">
        <f>$C$207</f>
        <v>0.12267494787591474</v>
      </c>
      <c r="D247" s="31" t="s">
        <v>242</v>
      </c>
      <c r="K247" s="31"/>
    </row>
    <row r="248" spans="2:10" ht="14.25">
      <c r="B248" s="30" t="s">
        <v>206</v>
      </c>
      <c r="C248" s="29">
        <f>$C$208</f>
        <v>0.8180947280956717</v>
      </c>
      <c r="D248" s="31"/>
      <c r="E248" s="9"/>
      <c r="F248" s="20"/>
      <c r="G248" s="21"/>
      <c r="J248" s="26"/>
    </row>
    <row r="249" spans="3:10" ht="12">
      <c r="C249" s="27"/>
      <c r="J249" s="28"/>
    </row>
  </sheetData>
  <mergeCells count="2">
    <mergeCell ref="D177:E177"/>
    <mergeCell ref="B177:C177"/>
  </mergeCells>
  <printOptions/>
  <pageMargins left="0.3937007874015748" right="0" top="0.7874015748031497" bottom="0.1968503937007874" header="0.5118110236220472" footer="0.5118110236220472"/>
  <pageSetup horizontalDpi="300" verticalDpi="300" orientation="landscape" paperSize="9" scale="75" r:id="rId1"/>
  <headerFooter alignWithMargins="0">
    <oddFooter>&amp;C&amp;P</oddFooter>
  </headerFooter>
  <rowBreaks count="5" manualBreakCount="5">
    <brk id="54" min="1" max="12" man="1"/>
    <brk id="81" min="1" max="12" man="1"/>
    <brk id="136" min="1" max="12" man="1"/>
    <brk id="191" min="1" max="12" man="1"/>
    <brk id="225" min="1" max="12" man="1"/>
  </rowBreaks>
  <colBreaks count="1" manualBreakCount="1">
    <brk id="14" max="2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田中良修</dc:creator>
  <cp:keywords/>
  <dc:description/>
  <cp:lastModifiedBy>tanaka</cp:lastModifiedBy>
  <cp:lastPrinted>2014-03-01T02:08:31Z</cp:lastPrinted>
  <dcterms:created xsi:type="dcterms:W3CDTF">2001-06-26T10:35:31Z</dcterms:created>
  <dcterms:modified xsi:type="dcterms:W3CDTF">2014-05-25T08:18:50Z</dcterms:modified>
  <cp:category/>
  <cp:version/>
  <cp:contentType/>
  <cp:contentStatus/>
</cp:coreProperties>
</file>